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a\Downloads\"/>
    </mc:Choice>
  </mc:AlternateContent>
  <bookViews>
    <workbookView xWindow="0" yWindow="0" windowWidth="15810" windowHeight="7770"/>
  </bookViews>
  <sheets>
    <sheet name="Kampe" sheetId="3" r:id="rId1"/>
    <sheet name="Misafregning" sheetId="1" r:id="rId2"/>
    <sheet name="Scoretavle_3_mands" sheetId="4" r:id="rId3"/>
    <sheet name="Scoretavle_Trio" sheetId="6" r:id="rId4"/>
    <sheet name="Scoretavle_Double" sheetId="7" r:id="rId5"/>
    <sheet name="Scoretavle_4_damers hold" sheetId="10" r:id="rId6"/>
    <sheet name="Licensnumre" sheetId="5" r:id="rId7"/>
  </sheets>
  <definedNames>
    <definedName name="_xlnm._FilterDatabase" localSheetId="0" hidden="1">Kampe!$A$1:$AD$67</definedName>
    <definedName name="_xlnm._FilterDatabase" localSheetId="6" hidden="1">Licensnumre!$C$2:$F$29</definedName>
    <definedName name="_xlnm.Print_Area" localSheetId="2">Scoretavle_3_mands!$A$1:$J$34</definedName>
    <definedName name="_xlnm.Print_Area" localSheetId="5">'Scoretavle_4_damers hold'!$A$1:$N$40</definedName>
    <definedName name="_xlnm.Print_Area" localSheetId="4">Scoretavle_Double!$A$1:$R$48</definedName>
    <definedName name="_xlnm.Print_Area" localSheetId="3">Scoretavle_Trio!$A$1:$N$43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5" l="1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U67" i="3" l="1"/>
  <c r="T67" i="3"/>
  <c r="U66" i="3"/>
  <c r="T66" i="3"/>
  <c r="U65" i="3"/>
  <c r="T65" i="3"/>
  <c r="U64" i="3"/>
  <c r="T64" i="3"/>
  <c r="U63" i="3"/>
  <c r="T63" i="3"/>
  <c r="U62" i="3"/>
  <c r="T62" i="3"/>
  <c r="U61" i="3"/>
  <c r="T61" i="3"/>
  <c r="U60" i="3"/>
  <c r="T60" i="3"/>
  <c r="U59" i="3"/>
  <c r="T59" i="3"/>
  <c r="U58" i="3"/>
  <c r="T58" i="3"/>
  <c r="U57" i="3"/>
  <c r="T57" i="3"/>
  <c r="U56" i="3"/>
  <c r="T56" i="3"/>
  <c r="U55" i="3"/>
  <c r="T55" i="3"/>
  <c r="U54" i="3"/>
  <c r="T54" i="3"/>
  <c r="U53" i="3"/>
  <c r="T53" i="3"/>
  <c r="U52" i="3"/>
  <c r="T52" i="3"/>
  <c r="U51" i="3"/>
  <c r="T51" i="3"/>
  <c r="U50" i="3"/>
  <c r="T50" i="3"/>
  <c r="U49" i="3"/>
  <c r="T49" i="3"/>
  <c r="U48" i="3"/>
  <c r="T48" i="3"/>
  <c r="U47" i="3"/>
  <c r="T47" i="3"/>
  <c r="U46" i="3"/>
  <c r="T46" i="3"/>
  <c r="U45" i="3"/>
  <c r="T45" i="3"/>
  <c r="U44" i="3"/>
  <c r="T44" i="3"/>
  <c r="U43" i="3"/>
  <c r="T43" i="3"/>
  <c r="U42" i="3"/>
  <c r="T42" i="3"/>
  <c r="U41" i="3"/>
  <c r="T41" i="3"/>
  <c r="U40" i="3"/>
  <c r="T40" i="3"/>
  <c r="U39" i="3"/>
  <c r="T39" i="3"/>
  <c r="U38" i="3"/>
  <c r="T38" i="3"/>
  <c r="U37" i="3"/>
  <c r="T37" i="3"/>
  <c r="U36" i="3"/>
  <c r="T36" i="3"/>
  <c r="U35" i="3"/>
  <c r="T35" i="3"/>
  <c r="U34" i="3"/>
  <c r="T34" i="3"/>
  <c r="U33" i="3"/>
  <c r="T33" i="3"/>
  <c r="U32" i="3"/>
  <c r="T32" i="3"/>
  <c r="U31" i="3"/>
  <c r="T31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U5" i="3"/>
  <c r="T5" i="3"/>
  <c r="U4" i="3"/>
  <c r="T4" i="3"/>
  <c r="U3" i="3"/>
  <c r="T3" i="3"/>
  <c r="U2" i="3"/>
  <c r="T2" i="3"/>
  <c r="F67" i="3" l="1"/>
  <c r="E67" i="3"/>
  <c r="D67" i="3"/>
  <c r="C67" i="3"/>
  <c r="B67" i="3"/>
  <c r="S67" i="3" s="1"/>
  <c r="A67" i="3"/>
  <c r="F66" i="3"/>
  <c r="E66" i="3"/>
  <c r="D66" i="3"/>
  <c r="C66" i="3"/>
  <c r="B66" i="3"/>
  <c r="S66" i="3" s="1"/>
  <c r="A66" i="3"/>
  <c r="F65" i="3"/>
  <c r="E65" i="3"/>
  <c r="D65" i="3"/>
  <c r="C65" i="3"/>
  <c r="B65" i="3"/>
  <c r="S65" i="3" s="1"/>
  <c r="A65" i="3"/>
  <c r="F64" i="3"/>
  <c r="E64" i="3"/>
  <c r="D64" i="3"/>
  <c r="C64" i="3"/>
  <c r="B64" i="3"/>
  <c r="S64" i="3" s="1"/>
  <c r="A64" i="3"/>
  <c r="F63" i="3"/>
  <c r="E63" i="3"/>
  <c r="D63" i="3"/>
  <c r="C63" i="3"/>
  <c r="B63" i="3"/>
  <c r="S63" i="3" s="1"/>
  <c r="A63" i="3"/>
  <c r="F62" i="3"/>
  <c r="E62" i="3"/>
  <c r="D62" i="3"/>
  <c r="C62" i="3"/>
  <c r="B62" i="3"/>
  <c r="S62" i="3" s="1"/>
  <c r="A62" i="3"/>
  <c r="F61" i="3"/>
  <c r="E61" i="3"/>
  <c r="D61" i="3"/>
  <c r="C61" i="3"/>
  <c r="B61" i="3"/>
  <c r="S61" i="3" s="1"/>
  <c r="A61" i="3"/>
  <c r="F60" i="3"/>
  <c r="E60" i="3"/>
  <c r="D60" i="3"/>
  <c r="C60" i="3"/>
  <c r="B60" i="3"/>
  <c r="S60" i="3" s="1"/>
  <c r="A60" i="3"/>
  <c r="F59" i="3"/>
  <c r="E59" i="3"/>
  <c r="D59" i="3"/>
  <c r="C59" i="3"/>
  <c r="B59" i="3"/>
  <c r="S59" i="3" s="1"/>
  <c r="A59" i="3"/>
  <c r="F58" i="3"/>
  <c r="E58" i="3"/>
  <c r="D58" i="3"/>
  <c r="C58" i="3"/>
  <c r="B58" i="3"/>
  <c r="S58" i="3" s="1"/>
  <c r="A58" i="3"/>
  <c r="F57" i="3"/>
  <c r="E57" i="3"/>
  <c r="D57" i="3"/>
  <c r="C57" i="3"/>
  <c r="B57" i="3"/>
  <c r="S57" i="3" s="1"/>
  <c r="A57" i="3"/>
  <c r="F56" i="3"/>
  <c r="E56" i="3"/>
  <c r="D56" i="3"/>
  <c r="C56" i="3"/>
  <c r="B56" i="3"/>
  <c r="S56" i="3" s="1"/>
  <c r="A56" i="3"/>
  <c r="F55" i="3"/>
  <c r="E55" i="3"/>
  <c r="D55" i="3"/>
  <c r="C55" i="3"/>
  <c r="B55" i="3"/>
  <c r="S55" i="3" s="1"/>
  <c r="A55" i="3"/>
  <c r="F54" i="3"/>
  <c r="E54" i="3"/>
  <c r="D54" i="3"/>
  <c r="C54" i="3"/>
  <c r="B54" i="3"/>
  <c r="S54" i="3" s="1"/>
  <c r="A54" i="3"/>
  <c r="F53" i="3"/>
  <c r="E53" i="3"/>
  <c r="D53" i="3"/>
  <c r="C53" i="3"/>
  <c r="B53" i="3"/>
  <c r="S53" i="3" s="1"/>
  <c r="A53" i="3"/>
  <c r="F52" i="3"/>
  <c r="E52" i="3"/>
  <c r="D52" i="3"/>
  <c r="C52" i="3"/>
  <c r="B52" i="3"/>
  <c r="S52" i="3" s="1"/>
  <c r="A52" i="3"/>
  <c r="F51" i="3"/>
  <c r="E51" i="3"/>
  <c r="D51" i="3"/>
  <c r="C51" i="3"/>
  <c r="B51" i="3"/>
  <c r="S51" i="3" s="1"/>
  <c r="A51" i="3"/>
  <c r="F50" i="3"/>
  <c r="E50" i="3"/>
  <c r="D50" i="3"/>
  <c r="C50" i="3"/>
  <c r="B50" i="3"/>
  <c r="S50" i="3" s="1"/>
  <c r="A50" i="3"/>
  <c r="F49" i="3"/>
  <c r="E49" i="3"/>
  <c r="D49" i="3"/>
  <c r="C49" i="3"/>
  <c r="B49" i="3"/>
  <c r="S49" i="3" s="1"/>
  <c r="A49" i="3"/>
  <c r="F48" i="3"/>
  <c r="E48" i="3"/>
  <c r="D48" i="3"/>
  <c r="C48" i="3"/>
  <c r="B48" i="3"/>
  <c r="S48" i="3" s="1"/>
  <c r="A48" i="3"/>
  <c r="F47" i="3"/>
  <c r="E47" i="3"/>
  <c r="D47" i="3"/>
  <c r="C47" i="3"/>
  <c r="B47" i="3"/>
  <c r="S47" i="3" s="1"/>
  <c r="A47" i="3"/>
  <c r="F46" i="3"/>
  <c r="E46" i="3"/>
  <c r="D46" i="3"/>
  <c r="C46" i="3"/>
  <c r="B46" i="3"/>
  <c r="S46" i="3" s="1"/>
  <c r="A46" i="3"/>
  <c r="F45" i="3"/>
  <c r="E45" i="3"/>
  <c r="D45" i="3"/>
  <c r="C45" i="3"/>
  <c r="B45" i="3"/>
  <c r="S45" i="3" s="1"/>
  <c r="A45" i="3"/>
  <c r="F44" i="3"/>
  <c r="E44" i="3"/>
  <c r="D44" i="3"/>
  <c r="C44" i="3"/>
  <c r="B44" i="3"/>
  <c r="S44" i="3" s="1"/>
  <c r="A44" i="3"/>
  <c r="F43" i="3"/>
  <c r="E43" i="3"/>
  <c r="D43" i="3"/>
  <c r="C43" i="3"/>
  <c r="B43" i="3"/>
  <c r="S43" i="3" s="1"/>
  <c r="A43" i="3"/>
  <c r="F42" i="3"/>
  <c r="E42" i="3"/>
  <c r="D42" i="3"/>
  <c r="C42" i="3"/>
  <c r="B42" i="3"/>
  <c r="S42" i="3" s="1"/>
  <c r="A42" i="3"/>
  <c r="F41" i="3"/>
  <c r="E41" i="3"/>
  <c r="D41" i="3"/>
  <c r="C41" i="3"/>
  <c r="B41" i="3"/>
  <c r="S41" i="3" s="1"/>
  <c r="A41" i="3"/>
  <c r="F40" i="3"/>
  <c r="E40" i="3"/>
  <c r="D40" i="3"/>
  <c r="C40" i="3"/>
  <c r="B40" i="3"/>
  <c r="S40" i="3" s="1"/>
  <c r="A40" i="3"/>
  <c r="F39" i="3"/>
  <c r="E39" i="3"/>
  <c r="D39" i="3"/>
  <c r="C39" i="3"/>
  <c r="B39" i="3"/>
  <c r="S39" i="3" s="1"/>
  <c r="A39" i="3"/>
  <c r="F38" i="3"/>
  <c r="E38" i="3"/>
  <c r="D38" i="3"/>
  <c r="C38" i="3"/>
  <c r="B38" i="3"/>
  <c r="S38" i="3" s="1"/>
  <c r="A38" i="3"/>
  <c r="F37" i="3"/>
  <c r="E37" i="3"/>
  <c r="D37" i="3"/>
  <c r="C37" i="3"/>
  <c r="B37" i="3"/>
  <c r="S37" i="3" s="1"/>
  <c r="A37" i="3"/>
  <c r="F36" i="3"/>
  <c r="E36" i="3"/>
  <c r="D36" i="3"/>
  <c r="C36" i="3"/>
  <c r="B36" i="3"/>
  <c r="S36" i="3" s="1"/>
  <c r="A36" i="3"/>
  <c r="F35" i="3"/>
  <c r="E35" i="3"/>
  <c r="D35" i="3"/>
  <c r="C35" i="3"/>
  <c r="B35" i="3"/>
  <c r="S35" i="3" s="1"/>
  <c r="A35" i="3"/>
  <c r="F34" i="3"/>
  <c r="E34" i="3"/>
  <c r="D34" i="3"/>
  <c r="C34" i="3"/>
  <c r="B34" i="3"/>
  <c r="S34" i="3" s="1"/>
  <c r="A34" i="3"/>
  <c r="F33" i="3"/>
  <c r="E33" i="3"/>
  <c r="D33" i="3"/>
  <c r="C33" i="3"/>
  <c r="B33" i="3"/>
  <c r="S33" i="3" s="1"/>
  <c r="A33" i="3"/>
  <c r="F32" i="3"/>
  <c r="E32" i="3"/>
  <c r="D32" i="3"/>
  <c r="C32" i="3"/>
  <c r="B32" i="3"/>
  <c r="S32" i="3" s="1"/>
  <c r="A32" i="3"/>
  <c r="F31" i="3"/>
  <c r="E31" i="3"/>
  <c r="D31" i="3"/>
  <c r="C31" i="3"/>
  <c r="B31" i="3"/>
  <c r="S31" i="3" s="1"/>
  <c r="A31" i="3"/>
  <c r="F30" i="3"/>
  <c r="E30" i="3"/>
  <c r="D30" i="3"/>
  <c r="C30" i="3"/>
  <c r="B30" i="3"/>
  <c r="S30" i="3" s="1"/>
  <c r="A30" i="3"/>
  <c r="F29" i="3"/>
  <c r="E29" i="3"/>
  <c r="D29" i="3"/>
  <c r="C29" i="3"/>
  <c r="B29" i="3"/>
  <c r="S29" i="3" s="1"/>
  <c r="A29" i="3"/>
  <c r="F28" i="3"/>
  <c r="E28" i="3"/>
  <c r="D28" i="3"/>
  <c r="C28" i="3"/>
  <c r="B28" i="3"/>
  <c r="S28" i="3" s="1"/>
  <c r="A28" i="3"/>
  <c r="F27" i="3"/>
  <c r="E27" i="3"/>
  <c r="D27" i="3"/>
  <c r="C27" i="3"/>
  <c r="B27" i="3"/>
  <c r="S27" i="3" s="1"/>
  <c r="A27" i="3"/>
  <c r="F26" i="3"/>
  <c r="E26" i="3"/>
  <c r="D26" i="3"/>
  <c r="C26" i="3"/>
  <c r="B26" i="3"/>
  <c r="S26" i="3" s="1"/>
  <c r="A26" i="3"/>
  <c r="F25" i="3"/>
  <c r="E25" i="3"/>
  <c r="D25" i="3"/>
  <c r="C25" i="3"/>
  <c r="B25" i="3"/>
  <c r="S25" i="3" s="1"/>
  <c r="A25" i="3"/>
  <c r="F24" i="3"/>
  <c r="E24" i="3"/>
  <c r="D24" i="3"/>
  <c r="C24" i="3"/>
  <c r="B24" i="3"/>
  <c r="S24" i="3" s="1"/>
  <c r="A24" i="3"/>
  <c r="F23" i="3"/>
  <c r="E23" i="3"/>
  <c r="D23" i="3"/>
  <c r="C23" i="3"/>
  <c r="B23" i="3"/>
  <c r="S23" i="3" s="1"/>
  <c r="A23" i="3"/>
  <c r="F22" i="3"/>
  <c r="E22" i="3"/>
  <c r="D22" i="3"/>
  <c r="C22" i="3"/>
  <c r="B22" i="3"/>
  <c r="S22" i="3" s="1"/>
  <c r="A22" i="3"/>
  <c r="F21" i="3"/>
  <c r="E21" i="3"/>
  <c r="D21" i="3"/>
  <c r="C21" i="3"/>
  <c r="B21" i="3"/>
  <c r="S21" i="3" s="1"/>
  <c r="A21" i="3"/>
  <c r="F20" i="3"/>
  <c r="E20" i="3"/>
  <c r="D20" i="3"/>
  <c r="C20" i="3"/>
  <c r="B20" i="3"/>
  <c r="S20" i="3" s="1"/>
  <c r="A20" i="3"/>
  <c r="F19" i="3"/>
  <c r="E19" i="3"/>
  <c r="D19" i="3"/>
  <c r="C19" i="3"/>
  <c r="B19" i="3"/>
  <c r="S19" i="3" s="1"/>
  <c r="A19" i="3"/>
  <c r="F18" i="3"/>
  <c r="E18" i="3"/>
  <c r="D18" i="3"/>
  <c r="C18" i="3"/>
  <c r="B18" i="3"/>
  <c r="S18" i="3" s="1"/>
  <c r="A18" i="3"/>
  <c r="F17" i="3"/>
  <c r="E17" i="3"/>
  <c r="D17" i="3"/>
  <c r="C17" i="3"/>
  <c r="B17" i="3"/>
  <c r="S17" i="3" s="1"/>
  <c r="A17" i="3"/>
  <c r="F16" i="3"/>
  <c r="E16" i="3"/>
  <c r="D16" i="3"/>
  <c r="C16" i="3"/>
  <c r="B16" i="3"/>
  <c r="S16" i="3" s="1"/>
  <c r="A16" i="3"/>
  <c r="F15" i="3"/>
  <c r="E15" i="3"/>
  <c r="D15" i="3"/>
  <c r="C15" i="3"/>
  <c r="B15" i="3"/>
  <c r="S15" i="3" s="1"/>
  <c r="A15" i="3"/>
  <c r="F14" i="3"/>
  <c r="E14" i="3"/>
  <c r="D14" i="3"/>
  <c r="C14" i="3"/>
  <c r="B14" i="3"/>
  <c r="S14" i="3" s="1"/>
  <c r="A14" i="3"/>
  <c r="F13" i="3"/>
  <c r="E13" i="3"/>
  <c r="D13" i="3"/>
  <c r="C13" i="3"/>
  <c r="B13" i="3"/>
  <c r="S13" i="3" s="1"/>
  <c r="A13" i="3"/>
  <c r="F12" i="3"/>
  <c r="E12" i="3"/>
  <c r="D12" i="3"/>
  <c r="C12" i="3"/>
  <c r="B12" i="3"/>
  <c r="S12" i="3" s="1"/>
  <c r="A12" i="3"/>
  <c r="F11" i="3"/>
  <c r="E11" i="3"/>
  <c r="D11" i="3"/>
  <c r="C11" i="3"/>
  <c r="B11" i="3"/>
  <c r="S11" i="3" s="1"/>
  <c r="A11" i="3"/>
  <c r="F10" i="3"/>
  <c r="E10" i="3"/>
  <c r="D10" i="3"/>
  <c r="C10" i="3"/>
  <c r="B10" i="3"/>
  <c r="S10" i="3" s="1"/>
  <c r="A10" i="3"/>
  <c r="F9" i="3"/>
  <c r="E9" i="3"/>
  <c r="D9" i="3"/>
  <c r="C9" i="3"/>
  <c r="B9" i="3"/>
  <c r="S9" i="3" s="1"/>
  <c r="A9" i="3"/>
  <c r="F8" i="3"/>
  <c r="E8" i="3"/>
  <c r="D8" i="3"/>
  <c r="C8" i="3"/>
  <c r="B8" i="3"/>
  <c r="S8" i="3" s="1"/>
  <c r="A8" i="3"/>
  <c r="F7" i="3"/>
  <c r="E7" i="3"/>
  <c r="D7" i="3"/>
  <c r="C7" i="3"/>
  <c r="B7" i="3"/>
  <c r="S7" i="3" s="1"/>
  <c r="A7" i="3"/>
  <c r="F6" i="3"/>
  <c r="E6" i="3"/>
  <c r="D6" i="3"/>
  <c r="C6" i="3"/>
  <c r="B6" i="3"/>
  <c r="S6" i="3" s="1"/>
  <c r="A6" i="3"/>
  <c r="F5" i="3"/>
  <c r="E5" i="3"/>
  <c r="D5" i="3"/>
  <c r="C5" i="3"/>
  <c r="B5" i="3"/>
  <c r="S5" i="3" s="1"/>
  <c r="A5" i="3"/>
  <c r="F4" i="3"/>
  <c r="E4" i="3"/>
  <c r="D4" i="3"/>
  <c r="C4" i="3"/>
  <c r="B4" i="3"/>
  <c r="S4" i="3" s="1"/>
  <c r="A4" i="3"/>
  <c r="B3" i="1" s="1"/>
  <c r="F3" i="3"/>
  <c r="E3" i="3"/>
  <c r="D3" i="3"/>
  <c r="C3" i="3"/>
  <c r="B3" i="3"/>
  <c r="S3" i="3" s="1"/>
  <c r="A3" i="3"/>
  <c r="F2" i="3"/>
  <c r="E2" i="3"/>
  <c r="D2" i="3"/>
  <c r="C2" i="3"/>
  <c r="B2" i="3"/>
  <c r="S2" i="3" s="1"/>
  <c r="A2" i="3"/>
  <c r="H21" i="1" l="1"/>
  <c r="H20" i="1"/>
  <c r="A10" i="1"/>
  <c r="C4" i="1"/>
  <c r="B4" i="1"/>
  <c r="A13" i="1" l="1"/>
  <c r="A12" i="1"/>
  <c r="A14" i="1"/>
  <c r="B6" i="1" l="1"/>
  <c r="N29" i="10" l="1"/>
  <c r="N28" i="10"/>
  <c r="N27" i="10"/>
  <c r="N26" i="10"/>
  <c r="N25" i="10"/>
  <c r="N24" i="10"/>
  <c r="N14" i="10"/>
  <c r="N13" i="10"/>
  <c r="N12" i="10"/>
  <c r="N11" i="10"/>
  <c r="N10" i="10"/>
  <c r="N9" i="10"/>
  <c r="L31" i="10"/>
  <c r="L34" i="10" s="1"/>
  <c r="J31" i="10"/>
  <c r="J34" i="10" s="1"/>
  <c r="H31" i="10"/>
  <c r="H34" i="10" s="1"/>
  <c r="F31" i="10"/>
  <c r="F34" i="10" s="1"/>
  <c r="L30" i="10"/>
  <c r="L32" i="10" s="1"/>
  <c r="J30" i="10"/>
  <c r="J33" i="10" s="1"/>
  <c r="H30" i="10"/>
  <c r="F30" i="10"/>
  <c r="F33" i="10" s="1"/>
  <c r="L16" i="10"/>
  <c r="L19" i="10" s="1"/>
  <c r="J16" i="10"/>
  <c r="J19" i="10" s="1"/>
  <c r="H16" i="10"/>
  <c r="H19" i="10" s="1"/>
  <c r="F16" i="10"/>
  <c r="F19" i="10" s="1"/>
  <c r="L15" i="10"/>
  <c r="J15" i="10"/>
  <c r="J18" i="10" s="1"/>
  <c r="H15" i="10"/>
  <c r="F15" i="10"/>
  <c r="F18" i="10" s="1"/>
  <c r="E13" i="10"/>
  <c r="D13" i="10"/>
  <c r="C13" i="10"/>
  <c r="E11" i="10"/>
  <c r="D11" i="10"/>
  <c r="C11" i="10"/>
  <c r="E10" i="10"/>
  <c r="D10" i="10"/>
  <c r="C10" i="10"/>
  <c r="A2" i="10"/>
  <c r="E6" i="10" l="1"/>
  <c r="A6" i="10"/>
  <c r="D4" i="10"/>
  <c r="D2" i="10"/>
  <c r="B4" i="10"/>
  <c r="A4" i="10"/>
  <c r="F32" i="10"/>
  <c r="H32" i="10"/>
  <c r="H35" i="10" s="1"/>
  <c r="N19" i="10"/>
  <c r="N34" i="10"/>
  <c r="N31" i="10"/>
  <c r="L35" i="10"/>
  <c r="J32" i="10"/>
  <c r="N30" i="10"/>
  <c r="F17" i="10"/>
  <c r="J17" i="10"/>
  <c r="J20" i="10" s="1"/>
  <c r="J21" i="10" s="1"/>
  <c r="H17" i="10"/>
  <c r="H20" i="10" s="1"/>
  <c r="L17" i="10"/>
  <c r="L20" i="10" s="1"/>
  <c r="N15" i="10"/>
  <c r="N16" i="10"/>
  <c r="H18" i="10"/>
  <c r="L18" i="10"/>
  <c r="J35" i="10"/>
  <c r="H33" i="10"/>
  <c r="L33" i="10"/>
  <c r="E24" i="10" l="1"/>
  <c r="A24" i="10"/>
  <c r="D24" i="10"/>
  <c r="C24" i="10"/>
  <c r="B24" i="10"/>
  <c r="A9" i="10"/>
  <c r="B9" i="10"/>
  <c r="E9" i="10"/>
  <c r="D9" i="10"/>
  <c r="C9" i="10"/>
  <c r="B23" i="10"/>
  <c r="D39" i="10"/>
  <c r="N32" i="10"/>
  <c r="H36" i="10"/>
  <c r="J36" i="10"/>
  <c r="N33" i="10"/>
  <c r="L36" i="10"/>
  <c r="H21" i="10"/>
  <c r="L21" i="10"/>
  <c r="N17" i="10"/>
  <c r="N18" i="10"/>
  <c r="F35" i="10"/>
  <c r="F36" i="10" s="1"/>
  <c r="B8" i="10"/>
  <c r="A39" i="10"/>
  <c r="F20" i="10"/>
  <c r="N36" i="10" l="1"/>
  <c r="N35" i="10"/>
  <c r="N20" i="10"/>
  <c r="F21" i="10"/>
  <c r="N21" i="10" s="1"/>
  <c r="C13" i="6"/>
  <c r="D13" i="6"/>
  <c r="E13" i="6"/>
  <c r="C14" i="6"/>
  <c r="D14" i="6"/>
  <c r="E14" i="6"/>
  <c r="C15" i="6"/>
  <c r="D15" i="6"/>
  <c r="E15" i="6"/>
  <c r="E15" i="7" l="1"/>
  <c r="D15" i="7"/>
  <c r="C15" i="7"/>
  <c r="E14" i="7"/>
  <c r="D14" i="7"/>
  <c r="C14" i="7"/>
  <c r="E13" i="7"/>
  <c r="D13" i="7"/>
  <c r="C13" i="7"/>
  <c r="E11" i="7"/>
  <c r="D11" i="7"/>
  <c r="C11" i="7"/>
  <c r="E10" i="7"/>
  <c r="D10" i="7"/>
  <c r="C10" i="7"/>
  <c r="C32" i="6"/>
  <c r="D32" i="6"/>
  <c r="E32" i="6"/>
  <c r="C31" i="6"/>
  <c r="D31" i="6"/>
  <c r="E31" i="6"/>
  <c r="E12" i="4"/>
  <c r="D12" i="4"/>
  <c r="C12" i="4"/>
  <c r="B28" i="10" l="1"/>
  <c r="A28" i="10"/>
  <c r="B13" i="10"/>
  <c r="A13" i="10"/>
  <c r="A16" i="1"/>
  <c r="A15" i="1"/>
  <c r="A11" i="1"/>
  <c r="D8" i="1"/>
  <c r="B8" i="1"/>
  <c r="E3" i="1"/>
  <c r="E4" i="1"/>
  <c r="B5" i="1"/>
  <c r="B25" i="10" l="1"/>
  <c r="A10" i="10"/>
  <c r="A25" i="10"/>
  <c r="B10" i="10"/>
  <c r="B27" i="10"/>
  <c r="A12" i="10"/>
  <c r="A27" i="10"/>
  <c r="B12" i="10"/>
  <c r="B26" i="10"/>
  <c r="B11" i="10"/>
  <c r="A26" i="10"/>
  <c r="A11" i="10"/>
  <c r="H26" i="1"/>
  <c r="H27" i="1"/>
  <c r="J22" i="4" l="1"/>
  <c r="J21" i="4"/>
  <c r="J20" i="4"/>
  <c r="J19" i="4"/>
  <c r="J18" i="4"/>
  <c r="J13" i="4"/>
  <c r="J12" i="4"/>
  <c r="J11" i="4"/>
  <c r="J10" i="4"/>
  <c r="J9" i="4"/>
  <c r="I23" i="4"/>
  <c r="H23" i="4"/>
  <c r="G23" i="4"/>
  <c r="F23" i="4"/>
  <c r="I14" i="4"/>
  <c r="I15" i="4" s="1"/>
  <c r="H14" i="4"/>
  <c r="H15" i="4" s="1"/>
  <c r="G14" i="4"/>
  <c r="G15" i="4" s="1"/>
  <c r="F14" i="4"/>
  <c r="F15" i="4" s="1"/>
  <c r="R35" i="7"/>
  <c r="R34" i="7"/>
  <c r="R33" i="7"/>
  <c r="R32" i="7"/>
  <c r="R31" i="7"/>
  <c r="R30" i="7"/>
  <c r="R29" i="7"/>
  <c r="R28" i="7"/>
  <c r="P38" i="7"/>
  <c r="P42" i="7" s="1"/>
  <c r="N38" i="7"/>
  <c r="N42" i="7" s="1"/>
  <c r="L38" i="7"/>
  <c r="L42" i="7" s="1"/>
  <c r="J38" i="7"/>
  <c r="J42" i="7" s="1"/>
  <c r="H38" i="7"/>
  <c r="H42" i="7" s="1"/>
  <c r="F38" i="7"/>
  <c r="F42" i="7" s="1"/>
  <c r="P37" i="7"/>
  <c r="P41" i="7" s="1"/>
  <c r="N37" i="7"/>
  <c r="N41" i="7" s="1"/>
  <c r="L37" i="7"/>
  <c r="L41" i="7" s="1"/>
  <c r="J37" i="7"/>
  <c r="J41" i="7" s="1"/>
  <c r="H37" i="7"/>
  <c r="H41" i="7" s="1"/>
  <c r="F37" i="7"/>
  <c r="F41" i="7" s="1"/>
  <c r="R41" i="7" s="1"/>
  <c r="P36" i="7"/>
  <c r="P39" i="7" s="1"/>
  <c r="P43" i="7" s="1"/>
  <c r="N36" i="7"/>
  <c r="L36" i="7"/>
  <c r="J36" i="7"/>
  <c r="J39" i="7" s="1"/>
  <c r="J43" i="7" s="1"/>
  <c r="H36" i="7"/>
  <c r="H39" i="7" s="1"/>
  <c r="H43" i="7" s="1"/>
  <c r="F36" i="7"/>
  <c r="P19" i="7"/>
  <c r="N19" i="7"/>
  <c r="N23" i="7" s="1"/>
  <c r="L19" i="7"/>
  <c r="L23" i="7" s="1"/>
  <c r="J19" i="7"/>
  <c r="H19" i="7"/>
  <c r="F19" i="7"/>
  <c r="F23" i="7" s="1"/>
  <c r="P23" i="7"/>
  <c r="J23" i="7"/>
  <c r="H23" i="7"/>
  <c r="R16" i="7"/>
  <c r="R15" i="7"/>
  <c r="R14" i="7"/>
  <c r="R13" i="7"/>
  <c r="R12" i="7"/>
  <c r="R11" i="7"/>
  <c r="R10" i="7"/>
  <c r="R9" i="7"/>
  <c r="P18" i="7"/>
  <c r="P17" i="7"/>
  <c r="N18" i="7"/>
  <c r="N17" i="7"/>
  <c r="L18" i="7"/>
  <c r="L17" i="7"/>
  <c r="J18" i="7"/>
  <c r="J17" i="7"/>
  <c r="H18" i="7"/>
  <c r="H17" i="7"/>
  <c r="H20" i="7" s="1"/>
  <c r="H24" i="7" s="1"/>
  <c r="L22" i="7"/>
  <c r="J22" i="7"/>
  <c r="H22" i="7"/>
  <c r="F18" i="7"/>
  <c r="F22" i="7" s="1"/>
  <c r="F17" i="7"/>
  <c r="A2" i="7"/>
  <c r="N33" i="6"/>
  <c r="N32" i="6"/>
  <c r="N31" i="6"/>
  <c r="N30" i="6"/>
  <c r="N29" i="6"/>
  <c r="N28" i="6"/>
  <c r="N27" i="6"/>
  <c r="N26" i="6"/>
  <c r="L35" i="6"/>
  <c r="L38" i="6" s="1"/>
  <c r="L34" i="6"/>
  <c r="L36" i="6" s="1"/>
  <c r="L39" i="6" s="1"/>
  <c r="J35" i="6"/>
  <c r="J38" i="6" s="1"/>
  <c r="J34" i="6"/>
  <c r="H35" i="6"/>
  <c r="H38" i="6" s="1"/>
  <c r="H34" i="6"/>
  <c r="F35" i="6"/>
  <c r="N35" i="6" s="1"/>
  <c r="F34" i="6"/>
  <c r="N16" i="6"/>
  <c r="N15" i="6"/>
  <c r="N14" i="6"/>
  <c r="N13" i="6"/>
  <c r="N12" i="6"/>
  <c r="N11" i="6"/>
  <c r="N10" i="6"/>
  <c r="N9" i="6"/>
  <c r="L18" i="6"/>
  <c r="L21" i="6" s="1"/>
  <c r="L17" i="6"/>
  <c r="J18" i="6"/>
  <c r="J21" i="6" s="1"/>
  <c r="J17" i="6"/>
  <c r="H18" i="6"/>
  <c r="H21" i="6" s="1"/>
  <c r="H17" i="6"/>
  <c r="F18" i="6"/>
  <c r="N18" i="6" s="1"/>
  <c r="F17" i="6"/>
  <c r="F20" i="6" s="1"/>
  <c r="A6" i="7" l="1"/>
  <c r="A14" i="7" s="1"/>
  <c r="D4" i="7"/>
  <c r="D2" i="7"/>
  <c r="E6" i="7"/>
  <c r="B29" i="7" s="1"/>
  <c r="B4" i="7"/>
  <c r="A4" i="7"/>
  <c r="J20" i="7"/>
  <c r="J24" i="7" s="1"/>
  <c r="N20" i="7"/>
  <c r="N24" i="7" s="1"/>
  <c r="N25" i="7" s="1"/>
  <c r="P20" i="7"/>
  <c r="P24" i="7" s="1"/>
  <c r="H19" i="6"/>
  <c r="H22" i="6" s="1"/>
  <c r="L19" i="6"/>
  <c r="L22" i="6" s="1"/>
  <c r="H36" i="6"/>
  <c r="H39" i="6" s="1"/>
  <c r="J19" i="6"/>
  <c r="J22" i="6" s="1"/>
  <c r="J36" i="6"/>
  <c r="J39" i="6" s="1"/>
  <c r="R22" i="7"/>
  <c r="F39" i="7"/>
  <c r="F43" i="7" s="1"/>
  <c r="N39" i="7"/>
  <c r="N43" i="7" s="1"/>
  <c r="L20" i="7"/>
  <c r="L24" i="7" s="1"/>
  <c r="L39" i="7"/>
  <c r="L43" i="7" s="1"/>
  <c r="P25" i="7"/>
  <c r="R37" i="7"/>
  <c r="R39" i="7"/>
  <c r="H40" i="7"/>
  <c r="H44" i="7" s="1"/>
  <c r="L40" i="7"/>
  <c r="L44" i="7" s="1"/>
  <c r="P40" i="7"/>
  <c r="P44" i="7" s="1"/>
  <c r="R23" i="7"/>
  <c r="R36" i="7"/>
  <c r="R38" i="7"/>
  <c r="F40" i="7"/>
  <c r="J40" i="7"/>
  <c r="J44" i="7" s="1"/>
  <c r="N40" i="7"/>
  <c r="N44" i="7" s="1"/>
  <c r="H20" i="6"/>
  <c r="J20" i="6"/>
  <c r="J23" i="6" s="1"/>
  <c r="L20" i="6"/>
  <c r="L23" i="6" s="1"/>
  <c r="H37" i="6"/>
  <c r="H40" i="6" s="1"/>
  <c r="J37" i="6"/>
  <c r="L37" i="6"/>
  <c r="L40" i="6" s="1"/>
  <c r="J23" i="4"/>
  <c r="J24" i="4" s="1"/>
  <c r="F24" i="4"/>
  <c r="J14" i="4"/>
  <c r="J15" i="4" s="1"/>
  <c r="I24" i="4"/>
  <c r="H24" i="4"/>
  <c r="G24" i="4"/>
  <c r="F20" i="7"/>
  <c r="F24" i="7" s="1"/>
  <c r="R24" i="7" s="1"/>
  <c r="F44" i="7"/>
  <c r="R17" i="7"/>
  <c r="R19" i="7"/>
  <c r="R18" i="7"/>
  <c r="R42" i="7"/>
  <c r="L21" i="7"/>
  <c r="L25" i="7" s="1"/>
  <c r="H21" i="7"/>
  <c r="H25" i="7" s="1"/>
  <c r="R44" i="7"/>
  <c r="J21" i="7"/>
  <c r="J25" i="7" s="1"/>
  <c r="F21" i="7"/>
  <c r="F37" i="6"/>
  <c r="N37" i="6" s="1"/>
  <c r="F38" i="6"/>
  <c r="N38" i="6" s="1"/>
  <c r="F21" i="6"/>
  <c r="N21" i="6" s="1"/>
  <c r="F36" i="6"/>
  <c r="N34" i="6"/>
  <c r="N17" i="6"/>
  <c r="F19" i="6"/>
  <c r="A2" i="6"/>
  <c r="A2" i="4"/>
  <c r="C4" i="6" l="1"/>
  <c r="C2" i="6"/>
  <c r="A6" i="6"/>
  <c r="A14" i="6" s="1"/>
  <c r="E6" i="6"/>
  <c r="A6" i="4"/>
  <c r="B11" i="4" s="1"/>
  <c r="E6" i="4"/>
  <c r="C4" i="4"/>
  <c r="C2" i="4"/>
  <c r="R40" i="7"/>
  <c r="A4" i="4"/>
  <c r="B4" i="4"/>
  <c r="B4" i="6"/>
  <c r="A4" i="6"/>
  <c r="B15" i="7"/>
  <c r="A15" i="7"/>
  <c r="B14" i="7"/>
  <c r="A13" i="7"/>
  <c r="B28" i="7"/>
  <c r="E28" i="7"/>
  <c r="A28" i="7"/>
  <c r="D28" i="7"/>
  <c r="C28" i="7"/>
  <c r="B12" i="7"/>
  <c r="B13" i="7"/>
  <c r="A11" i="7"/>
  <c r="B9" i="7"/>
  <c r="A9" i="7"/>
  <c r="E9" i="7"/>
  <c r="D9" i="7"/>
  <c r="C9" i="7"/>
  <c r="B8" i="7"/>
  <c r="B11" i="7"/>
  <c r="A10" i="7"/>
  <c r="J40" i="6"/>
  <c r="H23" i="6"/>
  <c r="R43" i="7"/>
  <c r="B10" i="7"/>
  <c r="A47" i="7"/>
  <c r="A12" i="7"/>
  <c r="A34" i="7"/>
  <c r="B34" i="7"/>
  <c r="A32" i="7"/>
  <c r="B32" i="7"/>
  <c r="A29" i="7"/>
  <c r="A31" i="7"/>
  <c r="B30" i="7"/>
  <c r="A33" i="7"/>
  <c r="B31" i="7"/>
  <c r="A30" i="7"/>
  <c r="B33" i="7"/>
  <c r="D47" i="7"/>
  <c r="N19" i="6"/>
  <c r="F22" i="6"/>
  <c r="N22" i="6" s="1"/>
  <c r="N36" i="6"/>
  <c r="F39" i="6"/>
  <c r="F40" i="6" s="1"/>
  <c r="N40" i="6" s="1"/>
  <c r="N20" i="6"/>
  <c r="F25" i="7"/>
  <c r="R25" i="7" s="1"/>
  <c r="R20" i="7"/>
  <c r="R21" i="7"/>
  <c r="B27" i="7"/>
  <c r="A15" i="6" l="1"/>
  <c r="A10" i="6"/>
  <c r="A11" i="6"/>
  <c r="A12" i="6"/>
  <c r="A13" i="6"/>
  <c r="A9" i="6"/>
  <c r="B10" i="6"/>
  <c r="B30" i="6"/>
  <c r="A26" i="6"/>
  <c r="B18" i="4"/>
  <c r="C21" i="4"/>
  <c r="B21" i="4"/>
  <c r="E21" i="4"/>
  <c r="D21" i="4"/>
  <c r="E10" i="4"/>
  <c r="A9" i="4"/>
  <c r="D10" i="4"/>
  <c r="C9" i="4"/>
  <c r="B9" i="4"/>
  <c r="C10" i="4"/>
  <c r="E9" i="4"/>
  <c r="B10" i="4"/>
  <c r="D9" i="4"/>
  <c r="B27" i="6"/>
  <c r="A27" i="6"/>
  <c r="B26" i="6"/>
  <c r="A28" i="6"/>
  <c r="B28" i="6"/>
  <c r="A29" i="6"/>
  <c r="B29" i="6"/>
  <c r="A10" i="4"/>
  <c r="A31" i="6"/>
  <c r="A32" i="6"/>
  <c r="A30" i="6"/>
  <c r="B9" i="6"/>
  <c r="C9" i="6"/>
  <c r="E9" i="6"/>
  <c r="D9" i="6"/>
  <c r="A18" i="4"/>
  <c r="A19" i="4"/>
  <c r="B19" i="4"/>
  <c r="C18" i="4"/>
  <c r="D18" i="4"/>
  <c r="E18" i="4"/>
  <c r="A21" i="4"/>
  <c r="B15" i="6"/>
  <c r="A11" i="4"/>
  <c r="A12" i="4"/>
  <c r="B12" i="4"/>
  <c r="A20" i="4"/>
  <c r="B20" i="4"/>
  <c r="B13" i="6"/>
  <c r="B11" i="6"/>
  <c r="B14" i="6"/>
  <c r="B12" i="6"/>
  <c r="F23" i="6"/>
  <c r="N23" i="6" s="1"/>
  <c r="B32" i="6"/>
  <c r="B31" i="6"/>
  <c r="A43" i="6"/>
  <c r="B25" i="6"/>
  <c r="D11" i="4"/>
  <c r="C11" i="4"/>
  <c r="E11" i="4"/>
  <c r="D20" i="4"/>
  <c r="E19" i="4"/>
  <c r="C19" i="4"/>
  <c r="E20" i="4"/>
  <c r="C20" i="4"/>
  <c r="D19" i="4"/>
  <c r="A30" i="4"/>
  <c r="D43" i="6"/>
  <c r="B8" i="4"/>
  <c r="B17" i="4"/>
  <c r="D30" i="4"/>
  <c r="B8" i="6"/>
  <c r="H22" i="1" l="1"/>
  <c r="B19" i="1" l="1"/>
  <c r="H23" i="1" s="1"/>
  <c r="H25" i="1" l="1"/>
  <c r="H24" i="1"/>
  <c r="F19" i="1"/>
</calcChain>
</file>

<file path=xl/sharedStrings.xml><?xml version="1.0" encoding="utf-8"?>
<sst xmlns="http://schemas.openxmlformats.org/spreadsheetml/2006/main" count="973" uniqueCount="227">
  <si>
    <t>Mispenge og kampafregning</t>
  </si>
  <si>
    <t>Dato</t>
  </si>
  <si>
    <t>Sted</t>
  </si>
  <si>
    <t>Kamp</t>
  </si>
  <si>
    <t>Antal spillere pr. serie</t>
  </si>
  <si>
    <t>Antal serier</t>
  </si>
  <si>
    <t>Navn</t>
  </si>
  <si>
    <t>Serie 1</t>
  </si>
  <si>
    <t>Serie 2</t>
  </si>
  <si>
    <t>Serie 3</t>
  </si>
  <si>
    <t>Serie 4</t>
  </si>
  <si>
    <t>Renden</t>
  </si>
  <si>
    <t>Mis i alt</t>
  </si>
  <si>
    <t>TOTAL Mispenge</t>
  </si>
  <si>
    <t>Konto</t>
  </si>
  <si>
    <t>Mispenge</t>
  </si>
  <si>
    <t>Total</t>
  </si>
  <si>
    <t>Halleje</t>
  </si>
  <si>
    <t>Kampe</t>
  </si>
  <si>
    <t>Kampgebyr</t>
  </si>
  <si>
    <t>Kamp I alt</t>
  </si>
  <si>
    <t>Betalt af spillere</t>
  </si>
  <si>
    <t>Kampafregning</t>
  </si>
  <si>
    <t>Afrunding Kamp</t>
  </si>
  <si>
    <t>Afregnes med kasserer</t>
  </si>
  <si>
    <t>Beløbet afleveres sammen med denne seddel til kasserer til første træning efter kamp</t>
  </si>
  <si>
    <t>Ved hjemmebane</t>
  </si>
  <si>
    <t>spiller 1</t>
  </si>
  <si>
    <t>Spiller 2</t>
  </si>
  <si>
    <t>Spiller 3</t>
  </si>
  <si>
    <t>Spiller 4</t>
  </si>
  <si>
    <t>Spiller 5</t>
  </si>
  <si>
    <t>Spiller 6</t>
  </si>
  <si>
    <t>Spiller 7</t>
  </si>
  <si>
    <t>Kampnr.</t>
  </si>
  <si>
    <t>Tid</t>
  </si>
  <si>
    <t>Lena</t>
  </si>
  <si>
    <t>Hanne K</t>
  </si>
  <si>
    <t>Ole</t>
  </si>
  <si>
    <t>Henning</t>
  </si>
  <si>
    <t>Kenn</t>
  </si>
  <si>
    <t>Margit</t>
  </si>
  <si>
    <t>Ysse</t>
  </si>
  <si>
    <t>Tim</t>
  </si>
  <si>
    <t>Kurt</t>
  </si>
  <si>
    <t>Hanne L</t>
  </si>
  <si>
    <t>Michael</t>
  </si>
  <si>
    <t>Gitte</t>
  </si>
  <si>
    <t>Hold</t>
  </si>
  <si>
    <t>Halpris</t>
  </si>
  <si>
    <t>Kampafgift</t>
  </si>
  <si>
    <t>Kampnummer</t>
  </si>
  <si>
    <t>Spiller pr. serie</t>
  </si>
  <si>
    <t>Serier</t>
  </si>
  <si>
    <t>Betaling Alle serier</t>
  </si>
  <si>
    <t>Betaling pr. serie</t>
  </si>
  <si>
    <t>Mis I alt</t>
  </si>
  <si>
    <t>Kampafregning + Mis I alt</t>
  </si>
  <si>
    <t>Beløbet kan overføres via bank på konto</t>
  </si>
  <si>
    <t>Anfør kampnummer</t>
  </si>
  <si>
    <t>Sted:</t>
  </si>
  <si>
    <t>Hold:</t>
  </si>
  <si>
    <t>Række</t>
  </si>
  <si>
    <t>Spillested</t>
  </si>
  <si>
    <t>LBC 2012</t>
  </si>
  <si>
    <t>-</t>
  </si>
  <si>
    <t>Fællesserie</t>
  </si>
  <si>
    <t>Sammentælling</t>
  </si>
  <si>
    <t>Point</t>
  </si>
  <si>
    <t>Dommer</t>
  </si>
  <si>
    <t>Turnering</t>
  </si>
  <si>
    <t>Hjemme</t>
  </si>
  <si>
    <t>Ude</t>
  </si>
  <si>
    <t>Licens</t>
  </si>
  <si>
    <t>240570-LECH</t>
  </si>
  <si>
    <t>Lena Christensen</t>
  </si>
  <si>
    <t>090260-JEHA</t>
  </si>
  <si>
    <t>100591-HERA</t>
  </si>
  <si>
    <t>Henning Randløv-Hansen</t>
  </si>
  <si>
    <t>Yvonne Henriksen</t>
  </si>
  <si>
    <t>300148-MAHI</t>
  </si>
  <si>
    <t>Margit Hindsdal</t>
  </si>
  <si>
    <t>100544-BIJØ</t>
  </si>
  <si>
    <t>050357-YVHE</t>
  </si>
  <si>
    <t>Ole Jacobsen</t>
  </si>
  <si>
    <t>Total Trio 1</t>
  </si>
  <si>
    <t>Total Trio 2</t>
  </si>
  <si>
    <t>Total Hold</t>
  </si>
  <si>
    <t>Point Trio 1</t>
  </si>
  <si>
    <t>Point Trio 2</t>
  </si>
  <si>
    <t>Point I alt</t>
  </si>
  <si>
    <t>Total Dbl. 3</t>
  </si>
  <si>
    <t>Total Dbl. 2</t>
  </si>
  <si>
    <t>Total Dbl. 1</t>
  </si>
  <si>
    <t>Point Dbl. 1</t>
  </si>
  <si>
    <t>Point Dbl. 2</t>
  </si>
  <si>
    <t>Point Dbl. 3</t>
  </si>
  <si>
    <t>Point Hold</t>
  </si>
  <si>
    <t>Dato og Tid</t>
  </si>
  <si>
    <t>Dato og tid</t>
  </si>
  <si>
    <t>Birthe Humlebæk Jørgensen</t>
  </si>
  <si>
    <t>Hanne Krøger</t>
  </si>
  <si>
    <t>161248-HAKR</t>
  </si>
  <si>
    <t>Hanne Larsen</t>
  </si>
  <si>
    <t>011046-HALA</t>
  </si>
  <si>
    <t>Jan Klemmensen</t>
  </si>
  <si>
    <t>230666-JAKL</t>
  </si>
  <si>
    <t>Jens Christian Hansen</t>
  </si>
  <si>
    <t>Jess Worm</t>
  </si>
  <si>
    <t>020462-JEWO</t>
  </si>
  <si>
    <t>Kenn Falk Nielsen</t>
  </si>
  <si>
    <t>240256-KENI</t>
  </si>
  <si>
    <t>Kurt Vagn Larsen</t>
  </si>
  <si>
    <t>100247-KULA</t>
  </si>
  <si>
    <t>Lars Nicki Dybvik Jørgensen</t>
  </si>
  <si>
    <t>030582-LAJØ</t>
  </si>
  <si>
    <t>290451-LERA</t>
  </si>
  <si>
    <t>Michael Henriksen</t>
  </si>
  <si>
    <t>190259-MIHE</t>
  </si>
  <si>
    <t>081050-OLJA</t>
  </si>
  <si>
    <t>Tim Larsen</t>
  </si>
  <si>
    <t>170863-TILA</t>
  </si>
  <si>
    <t>Jess</t>
  </si>
  <si>
    <t>Sundby 1</t>
  </si>
  <si>
    <t>S.A.S. 2</t>
  </si>
  <si>
    <t>Triominos 1</t>
  </si>
  <si>
    <t>S.A.S. 1</t>
  </si>
  <si>
    <t>Betalt inkl. Kamp</t>
  </si>
  <si>
    <t>Birthe</t>
  </si>
  <si>
    <t>300545-INPE</t>
  </si>
  <si>
    <t>Ingelise Pedersen</t>
  </si>
  <si>
    <t>Short</t>
  </si>
  <si>
    <t>Ingelise</t>
  </si>
  <si>
    <t>Jan</t>
  </si>
  <si>
    <t>Leif</t>
  </si>
  <si>
    <t>Kommentar</t>
  </si>
  <si>
    <t>Dommer ved hjemmebane</t>
  </si>
  <si>
    <t>Jens J</t>
  </si>
  <si>
    <t>Anders Gorm Jensen</t>
  </si>
  <si>
    <t>130577-ANJE</t>
  </si>
  <si>
    <t>Jens Jensen</t>
  </si>
  <si>
    <t>280668-JEJE</t>
  </si>
  <si>
    <t>Tina Petersen</t>
  </si>
  <si>
    <t>111070-TIPE</t>
  </si>
  <si>
    <t>Anders</t>
  </si>
  <si>
    <t>Tina</t>
  </si>
  <si>
    <t>Køge Bowling Center</t>
  </si>
  <si>
    <t>BBC Tårnby</t>
  </si>
  <si>
    <t>Fjordbowling - Frederikssund</t>
  </si>
  <si>
    <t>Cecilie´s</t>
  </si>
  <si>
    <t>FBK 2000 2</t>
  </si>
  <si>
    <t>Bowlernes Hal, Grøndal</t>
  </si>
  <si>
    <t>Jens Chr</t>
  </si>
  <si>
    <t>Børge</t>
  </si>
  <si>
    <t>BK Center 1</t>
  </si>
  <si>
    <t>BK Keglerne 1</t>
  </si>
  <si>
    <t>Ellipsen 1</t>
  </si>
  <si>
    <t>BK Center 2</t>
  </si>
  <si>
    <t>Jackpot 1</t>
  </si>
  <si>
    <t>Børge Pedersen</t>
  </si>
  <si>
    <t>050940-BØPE</t>
  </si>
  <si>
    <t>Lars R</t>
  </si>
  <si>
    <t>Lars Roos</t>
  </si>
  <si>
    <t>070671-LARO</t>
  </si>
  <si>
    <t>Tage</t>
  </si>
  <si>
    <t>Lars J</t>
  </si>
  <si>
    <t>Gladsaxe Bowling</t>
  </si>
  <si>
    <t>BK Roar 1</t>
  </si>
  <si>
    <t>BK Døvania 1</t>
  </si>
  <si>
    <t>BK Grøndal 1</t>
  </si>
  <si>
    <t>BK Rolling Stones 1</t>
  </si>
  <si>
    <t>Køge 75 1</t>
  </si>
  <si>
    <t>Familie Bowl 1</t>
  </si>
  <si>
    <t>KBK 1940 2</t>
  </si>
  <si>
    <t>Politiet IF 2</t>
  </si>
  <si>
    <t>Ravnsborg 1</t>
  </si>
  <si>
    <t>FBK 2000 1</t>
  </si>
  <si>
    <t>Jan K</t>
  </si>
  <si>
    <t>Rødovre Bowlinghal</t>
  </si>
  <si>
    <t>Kampnr</t>
  </si>
  <si>
    <t>Pulje</t>
  </si>
  <si>
    <t>Hjemmehold</t>
  </si>
  <si>
    <t>Udehold</t>
  </si>
  <si>
    <t>DT Herrer Øst 3 Div.</t>
  </si>
  <si>
    <t>B</t>
  </si>
  <si>
    <t>Sporvejene BK 1</t>
  </si>
  <si>
    <t>City Bowling Roskilde</t>
  </si>
  <si>
    <t>Øst 4-Damers Hold</t>
  </si>
  <si>
    <t>Pulje 1</t>
  </si>
  <si>
    <t>Allerød BC 1</t>
  </si>
  <si>
    <t>Ballerup Bowling</t>
  </si>
  <si>
    <t>Øst Række Damer</t>
  </si>
  <si>
    <t>Pin-Crackers 1</t>
  </si>
  <si>
    <t>Øst Række Herrer</t>
  </si>
  <si>
    <t>Øst Række Mix</t>
  </si>
  <si>
    <t>Mix 1</t>
  </si>
  <si>
    <t>S.A.S. 3</t>
  </si>
  <si>
    <t>BK Center 3</t>
  </si>
  <si>
    <t>S.A.S. 4</t>
  </si>
  <si>
    <t>Mix 4</t>
  </si>
  <si>
    <t>FBK 2000 3</t>
  </si>
  <si>
    <t>Triominos 3</t>
  </si>
  <si>
    <t>Spiller-Id</t>
  </si>
  <si>
    <t>Anette Andreasen</t>
  </si>
  <si>
    <t>180857-ANAN</t>
  </si>
  <si>
    <t>Bodil Johansen</t>
  </si>
  <si>
    <t>011047-BOJO</t>
  </si>
  <si>
    <t>120665-GISE</t>
  </si>
  <si>
    <t>Kent Kraa</t>
  </si>
  <si>
    <t>180161-KEKR</t>
  </si>
  <si>
    <t xml:space="preserve">Leif Jacob Rasmussen </t>
  </si>
  <si>
    <t>Peter Frank Jørgensen</t>
  </si>
  <si>
    <t>071079-PEJØ</t>
  </si>
  <si>
    <t>Stine Borregaard</t>
  </si>
  <si>
    <t>040177-STBO</t>
  </si>
  <si>
    <t>Tage Eienfeldt Slotholt</t>
  </si>
  <si>
    <t>Anette</t>
  </si>
  <si>
    <t>Bodil</t>
  </si>
  <si>
    <t>Jens C</t>
  </si>
  <si>
    <t>Kent</t>
  </si>
  <si>
    <t>Peter</t>
  </si>
  <si>
    <t>Stine</t>
  </si>
  <si>
    <t>Gitte Slotholt</t>
  </si>
  <si>
    <t>Tommy</t>
  </si>
  <si>
    <t>Tommy Brodersen</t>
  </si>
  <si>
    <t>070479-TOBR</t>
  </si>
  <si>
    <t>180866-TASL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</si>
</sst>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/dd/mm/yyyy"/>
    <numFmt numFmtId="165" formatCode="h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rgb="FF333333"/>
      <name val="Verdana"/>
      <family val="2"/>
    </font>
    <font>
      <sz val="8"/>
      <color theme="1"/>
      <name val="Verdana"/>
      <family val="2"/>
    </font>
    <font>
      <sz val="8"/>
      <color rgb="FF333333"/>
      <name val="Verdana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E0E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1" fillId="0" borderId="0" xfId="0" applyFont="1"/>
    <xf numFmtId="1" fontId="0" fillId="0" borderId="0" xfId="0" applyNumberFormat="1"/>
    <xf numFmtId="0" fontId="0" fillId="3" borderId="1" xfId="0" applyFill="1" applyBorder="1"/>
    <xf numFmtId="4" fontId="0" fillId="0" borderId="12" xfId="0" applyNumberFormat="1" applyBorder="1"/>
    <xf numFmtId="1" fontId="0" fillId="0" borderId="2" xfId="0" applyNumberFormat="1" applyBorder="1"/>
    <xf numFmtId="0" fontId="1" fillId="0" borderId="0" xfId="0" applyFont="1" applyAlignment="1">
      <alignment horizontal="right"/>
    </xf>
    <xf numFmtId="0" fontId="0" fillId="0" borderId="0" xfId="0" applyProtection="1">
      <protection locked="0"/>
    </xf>
    <xf numFmtId="4" fontId="0" fillId="2" borderId="12" xfId="0" applyNumberFormat="1" applyFill="1" applyBorder="1"/>
    <xf numFmtId="4" fontId="0" fillId="2" borderId="1" xfId="0" applyNumberFormat="1" applyFill="1" applyBorder="1"/>
    <xf numFmtId="0" fontId="0" fillId="6" borderId="5" xfId="0" applyFill="1" applyBorder="1"/>
    <xf numFmtId="0" fontId="3" fillId="0" borderId="19" xfId="0" applyFont="1" applyBorder="1"/>
    <xf numFmtId="0" fontId="3" fillId="0" borderId="0" xfId="0" applyFont="1"/>
    <xf numFmtId="0" fontId="3" fillId="0" borderId="21" xfId="0" applyFont="1" applyBorder="1"/>
    <xf numFmtId="0" fontId="3" fillId="0" borderId="8" xfId="0" applyFont="1" applyBorder="1"/>
    <xf numFmtId="0" fontId="3" fillId="0" borderId="33" xfId="0" applyFont="1" applyBorder="1"/>
    <xf numFmtId="0" fontId="3" fillId="0" borderId="16" xfId="0" applyFont="1" applyBorder="1"/>
    <xf numFmtId="0" fontId="3" fillId="0" borderId="34" xfId="0" applyFont="1" applyBorder="1"/>
    <xf numFmtId="0" fontId="3" fillId="0" borderId="32" xfId="0" applyFont="1" applyBorder="1"/>
    <xf numFmtId="0" fontId="3" fillId="0" borderId="0" xfId="0" applyFont="1" applyAlignment="1">
      <alignment horizontal="center"/>
    </xf>
    <xf numFmtId="0" fontId="3" fillId="0" borderId="40" xfId="0" applyFont="1" applyBorder="1"/>
    <xf numFmtId="0" fontId="3" fillId="0" borderId="42" xfId="0" applyFont="1" applyBorder="1"/>
    <xf numFmtId="0" fontId="3" fillId="0" borderId="20" xfId="0" applyFont="1" applyBorder="1" applyAlignment="1">
      <alignment horizontal="center"/>
    </xf>
    <xf numFmtId="0" fontId="3" fillId="0" borderId="7" xfId="0" applyFont="1" applyBorder="1"/>
    <xf numFmtId="0" fontId="3" fillId="0" borderId="15" xfId="0" applyFont="1" applyBorder="1"/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0" fillId="0" borderId="8" xfId="0" quotePrefix="1" applyBorder="1" applyAlignment="1">
      <alignment horizontal="right" vertical="center"/>
    </xf>
    <xf numFmtId="0" fontId="0" fillId="0" borderId="1" xfId="0" quotePrefix="1" applyBorder="1" applyAlignment="1">
      <alignment horizontal="right" vertical="center"/>
    </xf>
    <xf numFmtId="0" fontId="0" fillId="0" borderId="38" xfId="0" quotePrefix="1" applyBorder="1" applyAlignment="1">
      <alignment horizontal="right" vertical="center"/>
    </xf>
    <xf numFmtId="0" fontId="0" fillId="0" borderId="12" xfId="0" quotePrefix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8" xfId="0" quotePrefix="1" applyFont="1" applyBorder="1" applyAlignment="1" applyProtection="1">
      <alignment horizontal="right" vertical="center"/>
      <protection locked="0"/>
    </xf>
    <xf numFmtId="0" fontId="3" fillId="0" borderId="1" xfId="0" quotePrefix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quotePrefix="1" applyFont="1" applyBorder="1" applyAlignment="1" applyProtection="1">
      <alignment horizontal="right" vertical="center"/>
      <protection locked="0"/>
    </xf>
    <xf numFmtId="0" fontId="5" fillId="0" borderId="40" xfId="0" applyFont="1" applyBorder="1" applyAlignment="1">
      <alignment vertical="center"/>
    </xf>
    <xf numFmtId="0" fontId="5" fillId="0" borderId="1" xfId="0" quotePrefix="1" applyFont="1" applyBorder="1" applyAlignment="1" applyProtection="1">
      <alignment horizontal="right" vertical="center"/>
      <protection locked="0"/>
    </xf>
    <xf numFmtId="0" fontId="5" fillId="0" borderId="4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5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37" xfId="0" quotePrefix="1" applyFont="1" applyBorder="1" applyAlignment="1" applyProtection="1">
      <alignment horizontal="right" vertical="center"/>
      <protection locked="0"/>
    </xf>
    <xf numFmtId="0" fontId="5" fillId="0" borderId="14" xfId="0" quotePrefix="1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8" fillId="7" borderId="0" xfId="0" applyFont="1" applyFill="1" applyAlignment="1">
      <alignment vertical="center" wrapText="1"/>
    </xf>
    <xf numFmtId="0" fontId="8" fillId="8" borderId="0" xfId="0" applyFont="1" applyFill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7" xfId="0" quotePrefix="1" applyFont="1" applyBorder="1" applyAlignment="1" applyProtection="1">
      <alignment horizontal="right" vertical="center"/>
      <protection locked="0"/>
    </xf>
    <xf numFmtId="0" fontId="3" fillId="0" borderId="14" xfId="0" quotePrefix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5" fillId="0" borderId="34" xfId="0" applyFont="1" applyBorder="1" applyAlignment="1">
      <alignment vertical="center"/>
    </xf>
    <xf numFmtId="0" fontId="0" fillId="2" borderId="1" xfId="0" applyFill="1" applyBorder="1" applyProtection="1">
      <protection locked="0"/>
    </xf>
    <xf numFmtId="0" fontId="0" fillId="5" borderId="46" xfId="0" applyFill="1" applyBorder="1" applyProtection="1">
      <protection locked="0"/>
    </xf>
    <xf numFmtId="0" fontId="0" fillId="5" borderId="31" xfId="0" applyFill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0" borderId="54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47" xfId="0" applyFont="1" applyBorder="1"/>
    <xf numFmtId="0" fontId="3" fillId="0" borderId="37" xfId="0" applyFont="1" applyBorder="1"/>
    <xf numFmtId="0" fontId="3" fillId="0" borderId="50" xfId="0" applyFont="1" applyBorder="1"/>
    <xf numFmtId="0" fontId="3" fillId="0" borderId="9" xfId="0" applyFont="1" applyBorder="1"/>
    <xf numFmtId="0" fontId="3" fillId="0" borderId="17" xfId="0" applyFont="1" applyBorder="1"/>
    <xf numFmtId="0" fontId="2" fillId="0" borderId="0" xfId="0" applyFont="1" applyAlignment="1">
      <alignment horizontal="center"/>
    </xf>
    <xf numFmtId="0" fontId="0" fillId="0" borderId="63" xfId="0" applyBorder="1"/>
    <xf numFmtId="0" fontId="0" fillId="0" borderId="41" xfId="0" applyBorder="1"/>
    <xf numFmtId="0" fontId="0" fillId="0" borderId="42" xfId="0" applyBorder="1"/>
    <xf numFmtId="0" fontId="0" fillId="0" borderId="20" xfId="0" applyBorder="1"/>
    <xf numFmtId="0" fontId="0" fillId="0" borderId="40" xfId="0" applyBorder="1"/>
    <xf numFmtId="0" fontId="6" fillId="0" borderId="31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0" fillId="0" borderId="7" xfId="0" applyBorder="1"/>
    <xf numFmtId="0" fontId="0" fillId="0" borderId="8" xfId="0" applyBorder="1"/>
    <xf numFmtId="0" fontId="0" fillId="6" borderId="9" xfId="0" applyFill="1" applyBorder="1"/>
    <xf numFmtId="0" fontId="0" fillId="0" borderId="51" xfId="0" applyBorder="1"/>
    <xf numFmtId="0" fontId="0" fillId="0" borderId="10" xfId="0" applyBorder="1"/>
    <xf numFmtId="0" fontId="0" fillId="6" borderId="11" xfId="0" applyFill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6" borderId="17" xfId="0" applyFill="1" applyBorder="1"/>
    <xf numFmtId="0" fontId="0" fillId="0" borderId="52" xfId="0" applyBorder="1"/>
    <xf numFmtId="0" fontId="0" fillId="0" borderId="24" xfId="0" applyBorder="1"/>
    <xf numFmtId="0" fontId="0" fillId="0" borderId="60" xfId="0" applyBorder="1"/>
    <xf numFmtId="0" fontId="0" fillId="0" borderId="61" xfId="0" applyBorder="1"/>
    <xf numFmtId="0" fontId="0" fillId="6" borderId="62" xfId="0" applyFill="1" applyBorder="1"/>
    <xf numFmtId="0" fontId="0" fillId="9" borderId="25" xfId="0" applyFill="1" applyBorder="1"/>
    <xf numFmtId="0" fontId="5" fillId="0" borderId="38" xfId="0" quotePrefix="1" applyFont="1" applyBorder="1" applyAlignment="1" applyProtection="1">
      <alignment horizontal="right" vertical="center"/>
      <protection locked="0"/>
    </xf>
    <xf numFmtId="0" fontId="5" fillId="0" borderId="12" xfId="0" quotePrefix="1" applyFont="1" applyBorder="1" applyAlignment="1" applyProtection="1">
      <alignment horizontal="right" vertical="center"/>
      <protection locked="0"/>
    </xf>
    <xf numFmtId="49" fontId="0" fillId="0" borderId="0" xfId="0" applyNumberFormat="1"/>
    <xf numFmtId="0" fontId="3" fillId="0" borderId="19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6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20" fontId="0" fillId="0" borderId="0" xfId="0" applyNumberFormat="1"/>
    <xf numFmtId="164" fontId="0" fillId="0" borderId="0" xfId="0" applyNumberFormat="1"/>
    <xf numFmtId="0" fontId="0" fillId="2" borderId="3" xfId="0" applyFill="1" applyBorder="1" applyProtection="1">
      <protection locked="0"/>
    </xf>
    <xf numFmtId="165" fontId="0" fillId="0" borderId="14" xfId="0" applyNumberFormat="1" applyBorder="1" applyAlignment="1">
      <alignment horizontal="left"/>
    </xf>
    <xf numFmtId="164" fontId="5" fillId="0" borderId="24" xfId="0" applyNumberFormat="1" applyFont="1" applyBorder="1" applyAlignment="1">
      <alignment horizontal="left"/>
    </xf>
    <xf numFmtId="165" fontId="5" fillId="0" borderId="26" xfId="0" applyNumberFormat="1" applyFont="1" applyBorder="1" applyAlignment="1">
      <alignment horizontal="left"/>
    </xf>
    <xf numFmtId="164" fontId="5" fillId="0" borderId="56" xfId="0" applyNumberFormat="1" applyFont="1" applyBorder="1" applyAlignment="1">
      <alignment horizontal="left"/>
    </xf>
    <xf numFmtId="165" fontId="5" fillId="0" borderId="67" xfId="0" applyNumberFormat="1" applyFont="1" applyBorder="1" applyAlignment="1">
      <alignment horizontal="left"/>
    </xf>
    <xf numFmtId="165" fontId="5" fillId="0" borderId="57" xfId="0" applyNumberFormat="1" applyFont="1" applyBorder="1" applyAlignment="1">
      <alignment horizontal="left"/>
    </xf>
    <xf numFmtId="0" fontId="6" fillId="0" borderId="46" xfId="0" applyFont="1" applyBorder="1" applyProtection="1">
      <protection locked="0"/>
    </xf>
    <xf numFmtId="0" fontId="5" fillId="0" borderId="46" xfId="0" applyFont="1" applyBorder="1" applyProtection="1">
      <protection locked="0"/>
    </xf>
    <xf numFmtId="164" fontId="3" fillId="0" borderId="24" xfId="0" applyNumberFormat="1" applyFont="1" applyBorder="1" applyAlignment="1">
      <alignment horizontal="left"/>
    </xf>
    <xf numFmtId="165" fontId="3" fillId="0" borderId="26" xfId="0" applyNumberFormat="1" applyFon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4" fontId="0" fillId="0" borderId="1" xfId="0" applyNumberFormat="1" applyBorder="1"/>
    <xf numFmtId="20" fontId="0" fillId="0" borderId="1" xfId="0" applyNumberFormat="1" applyBorder="1"/>
    <xf numFmtId="0" fontId="0" fillId="0" borderId="1" xfId="0" applyBorder="1" applyProtection="1">
      <protection locked="0"/>
    </xf>
    <xf numFmtId="49" fontId="0" fillId="0" borderId="1" xfId="0" applyNumberFormat="1" applyBorder="1"/>
    <xf numFmtId="0" fontId="9" fillId="0" borderId="0" xfId="0" applyFont="1"/>
    <xf numFmtId="0" fontId="9" fillId="0" borderId="0" xfId="0" applyFont="1" applyProtection="1">
      <protection locked="0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0" fillId="7" borderId="0" xfId="0" applyFont="1" applyFill="1" applyAlignment="1">
      <alignment vertical="center" wrapText="1"/>
    </xf>
    <xf numFmtId="0" fontId="10" fillId="10" borderId="0" xfId="0" applyFont="1" applyFill="1" applyAlignment="1">
      <alignment vertical="center"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3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38" xfId="0" applyFont="1" applyBorder="1" applyProtection="1">
      <protection locked="0"/>
    </xf>
    <xf numFmtId="0" fontId="5" fillId="0" borderId="40" xfId="0" applyFont="1" applyBorder="1"/>
    <xf numFmtId="0" fontId="5" fillId="0" borderId="3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41" xfId="0" applyFont="1" applyBorder="1"/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3" fillId="0" borderId="2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46" xfId="0" applyFont="1" applyBorder="1" applyAlignment="1" applyProtection="1">
      <alignment horizontal="left"/>
      <protection locked="0"/>
    </xf>
    <xf numFmtId="0" fontId="5" fillId="0" borderId="51" xfId="0" applyFont="1" applyBorder="1" applyAlignment="1" applyProtection="1">
      <alignment horizontal="left"/>
      <protection locked="0"/>
    </xf>
    <xf numFmtId="0" fontId="5" fillId="0" borderId="47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46" xfId="0" applyFont="1" applyBorder="1" applyAlignment="1" applyProtection="1">
      <alignment horizontal="left"/>
      <protection locked="0"/>
    </xf>
    <xf numFmtId="0" fontId="6" fillId="0" borderId="51" xfId="0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left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396240</xdr:colOff>
      <xdr:row>0</xdr:row>
      <xdr:rowOff>57150</xdr:rowOff>
    </xdr:from>
    <xdr:to>
      <xdr:col>9</xdr:col>
      <xdr:colOff>969644</xdr:colOff>
      <xdr:row>9</xdr:row>
      <xdr:rowOff>170306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7680" y="57150"/>
          <a:ext cx="1183004" cy="1682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7"/>
  <sheetViews>
    <sheetView tabSelected="1" workbookViewId="0">
      <pane ySplit="1" topLeftCell="A2" activePane="bottomLeft" state="frozen"/>
      <selection pane="bottomLeft" activeCell="I23" sqref="I23"/>
    </sheetView>
  </sheetViews>
  <sheetFormatPr defaultRowHeight="15" x14ac:dyDescent="0.25"/>
  <cols>
    <col min="1" max="1" width="10" bestFit="1" customWidth="1"/>
    <col min="2" max="2" width="21.140625" bestFit="1" customWidth="1"/>
    <col min="3" max="3" width="10.28515625" bestFit="1" customWidth="1"/>
    <col min="4" max="4" width="5.7109375" style="179" bestFit="1" customWidth="1"/>
    <col min="5" max="5" width="24.42578125" bestFit="1" customWidth="1"/>
    <col min="6" max="6" width="27.28515625" bestFit="1" customWidth="1"/>
    <col min="7" max="7" width="17.42578125" style="10" bestFit="1" customWidth="1"/>
    <col min="8" max="8" width="9.42578125" style="10" bestFit="1" customWidth="1"/>
    <col min="9" max="12" width="9.5703125" style="10" bestFit="1" customWidth="1"/>
    <col min="13" max="14" width="9.5703125" style="10" customWidth="1"/>
    <col min="15" max="15" width="8.7109375" customWidth="1"/>
    <col min="16" max="16" width="12.140625" customWidth="1"/>
    <col min="17" max="17" width="15.140625" customWidth="1"/>
    <col min="18" max="18" width="7.85546875" customWidth="1"/>
    <col min="19" max="19" width="18.28515625" bestFit="1" customWidth="1"/>
    <col min="20" max="20" width="15.7109375" bestFit="1" customWidth="1"/>
    <col min="21" max="21" width="16.42578125" bestFit="1" customWidth="1"/>
    <col min="22" max="22" width="10.5703125" style="10" bestFit="1" customWidth="1"/>
    <col min="23" max="25" width="8.85546875" customWidth="1"/>
    <col min="26" max="26" width="16.42578125" bestFit="1" customWidth="1"/>
    <col min="27" max="27" width="24.42578125" bestFit="1" customWidth="1"/>
    <col min="28" max="28" width="12.85546875" style="191" bestFit="1" customWidth="1"/>
  </cols>
  <sheetData>
    <row r="1" spans="1:30" x14ac:dyDescent="0.25">
      <c r="A1" s="3" t="s">
        <v>34</v>
      </c>
      <c r="B1" s="3" t="s">
        <v>48</v>
      </c>
      <c r="C1" s="3" t="s">
        <v>1</v>
      </c>
      <c r="D1" s="207" t="s">
        <v>35</v>
      </c>
      <c r="E1" s="3" t="s">
        <v>2</v>
      </c>
      <c r="F1" s="3" t="s">
        <v>3</v>
      </c>
      <c r="G1" s="206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3" t="s">
        <v>33</v>
      </c>
      <c r="O1" s="3" t="s">
        <v>49</v>
      </c>
      <c r="P1" s="3" t="s">
        <v>50</v>
      </c>
      <c r="Q1" s="3" t="s">
        <v>52</v>
      </c>
      <c r="R1" s="3" t="s">
        <v>53</v>
      </c>
      <c r="S1" s="3" t="s">
        <v>70</v>
      </c>
      <c r="T1" s="3" t="s">
        <v>71</v>
      </c>
      <c r="U1" s="3" t="s">
        <v>72</v>
      </c>
      <c r="V1" s="206" t="s">
        <v>135</v>
      </c>
      <c r="W1" t="s">
        <v>179</v>
      </c>
      <c r="X1" t="s">
        <v>62</v>
      </c>
      <c r="Y1" t="s">
        <v>180</v>
      </c>
      <c r="Z1" t="s">
        <v>181</v>
      </c>
      <c r="AA1" t="s">
        <v>182</v>
      </c>
      <c r="AB1" t="s">
        <v>63</v>
      </c>
      <c r="AC1" t="s">
        <v>1</v>
      </c>
      <c r="AD1" t="s">
        <v>35</v>
      </c>
    </row>
    <row r="2" spans="1:30" hidden="1" x14ac:dyDescent="0.25">
      <c r="A2" s="3">
        <f>W2</f>
        <v>423001</v>
      </c>
      <c r="B2" s="3" t="str">
        <f>X2&amp;" "&amp;Y2</f>
        <v>DT Herrer Øst 3 Div. B</v>
      </c>
      <c r="C2" s="204">
        <f>AC2</f>
        <v>45171</v>
      </c>
      <c r="D2" s="205">
        <f>AD2</f>
        <v>0.47916666666666669</v>
      </c>
      <c r="E2" s="3" t="str">
        <f>AB2</f>
        <v>Rødovre Bowlinghal</v>
      </c>
      <c r="F2" s="3" t="str">
        <f>Z2&amp;" - "&amp;AA2</f>
        <v>Ellipsen 1 - LBC 2012</v>
      </c>
      <c r="G2" s="206"/>
      <c r="H2" s="138" t="s">
        <v>144</v>
      </c>
      <c r="I2" s="138" t="s">
        <v>165</v>
      </c>
      <c r="J2" s="138" t="s">
        <v>218</v>
      </c>
      <c r="K2" s="138" t="s">
        <v>220</v>
      </c>
      <c r="L2" s="138" t="s">
        <v>38</v>
      </c>
      <c r="M2" s="138" t="s">
        <v>137</v>
      </c>
      <c r="N2" s="138" t="s">
        <v>39</v>
      </c>
      <c r="O2" s="3">
        <v>875</v>
      </c>
      <c r="P2" s="3">
        <v>144</v>
      </c>
      <c r="Q2" s="3">
        <v>6</v>
      </c>
      <c r="R2" s="3">
        <v>4</v>
      </c>
      <c r="S2" s="3" t="str">
        <f>B2</f>
        <v>DT Herrer Øst 3 Div. B</v>
      </c>
      <c r="T2" s="3" t="str">
        <f>Z2</f>
        <v>Ellipsen 1</v>
      </c>
      <c r="U2" s="3" t="str">
        <f>AA2</f>
        <v>LBC 2012</v>
      </c>
      <c r="V2" s="206"/>
      <c r="W2">
        <v>423001</v>
      </c>
      <c r="X2" t="s">
        <v>183</v>
      </c>
      <c r="Y2" t="s">
        <v>184</v>
      </c>
      <c r="Z2" t="s">
        <v>156</v>
      </c>
      <c r="AA2" t="s">
        <v>64</v>
      </c>
      <c r="AB2" t="s">
        <v>178</v>
      </c>
      <c r="AC2" s="214">
        <v>45171</v>
      </c>
      <c r="AD2" s="190">
        <v>0.47916666666666669</v>
      </c>
    </row>
    <row r="3" spans="1:30" hidden="1" x14ac:dyDescent="0.25">
      <c r="A3" s="3">
        <f t="shared" ref="A3:A66" si="0">W3</f>
        <v>423008</v>
      </c>
      <c r="B3" s="3" t="str">
        <f t="shared" ref="B3:B66" si="1">X3&amp;" "&amp;Y3</f>
        <v>DT Herrer Øst 3 Div. B</v>
      </c>
      <c r="C3" s="204">
        <f t="shared" ref="C3:C66" si="2">AC3</f>
        <v>45193</v>
      </c>
      <c r="D3" s="205">
        <f t="shared" ref="D3:D66" si="3">AD3</f>
        <v>0.54166666666666663</v>
      </c>
      <c r="E3" s="3" t="str">
        <f t="shared" ref="E3:E66" si="4">AB3</f>
        <v>Køge Bowling Center</v>
      </c>
      <c r="F3" s="3" t="str">
        <f t="shared" ref="F3:F66" si="5">Z3&amp;" - "&amp;AA3</f>
        <v>LBC 2012 - BK Grøndal 1</v>
      </c>
      <c r="G3" s="206" t="s">
        <v>152</v>
      </c>
      <c r="H3" s="138" t="s">
        <v>144</v>
      </c>
      <c r="I3" s="138" t="s">
        <v>165</v>
      </c>
      <c r="J3" s="138" t="s">
        <v>218</v>
      </c>
      <c r="K3" s="138" t="s">
        <v>220</v>
      </c>
      <c r="L3" s="138" t="s">
        <v>38</v>
      </c>
      <c r="M3" s="138" t="s">
        <v>137</v>
      </c>
      <c r="N3" s="138" t="s">
        <v>39</v>
      </c>
      <c r="O3" s="3">
        <v>800</v>
      </c>
      <c r="P3" s="3">
        <v>144</v>
      </c>
      <c r="Q3" s="3">
        <v>6</v>
      </c>
      <c r="R3" s="3">
        <v>4</v>
      </c>
      <c r="S3" s="3" t="str">
        <f t="shared" ref="S3:S66" si="6">B3</f>
        <v>DT Herrer Øst 3 Div. B</v>
      </c>
      <c r="T3" s="3" t="str">
        <f t="shared" ref="T3:T66" si="7">Z3</f>
        <v>LBC 2012</v>
      </c>
      <c r="U3" s="3" t="str">
        <f t="shared" ref="U3:U66" si="8">AA3</f>
        <v>BK Grøndal 1</v>
      </c>
      <c r="V3" s="206"/>
      <c r="W3">
        <v>423008</v>
      </c>
      <c r="X3" t="s">
        <v>183</v>
      </c>
      <c r="Y3" t="s">
        <v>184</v>
      </c>
      <c r="Z3" t="s">
        <v>64</v>
      </c>
      <c r="AA3" t="s">
        <v>169</v>
      </c>
      <c r="AB3" t="s">
        <v>146</v>
      </c>
      <c r="AC3" s="214">
        <v>45193</v>
      </c>
      <c r="AD3" s="190">
        <v>0.54166666666666663</v>
      </c>
    </row>
    <row r="4" spans="1:30" hidden="1" x14ac:dyDescent="0.25">
      <c r="A4" s="3">
        <f t="shared" si="0"/>
        <v>423009</v>
      </c>
      <c r="B4" s="3" t="str">
        <f t="shared" si="1"/>
        <v>DT Herrer Øst 3 Div. B</v>
      </c>
      <c r="C4" s="204">
        <f t="shared" si="2"/>
        <v>45220</v>
      </c>
      <c r="D4" s="205">
        <f t="shared" si="3"/>
        <v>0.5</v>
      </c>
      <c r="E4" s="3" t="str">
        <f t="shared" si="4"/>
        <v>Rødovre Bowlinghal</v>
      </c>
      <c r="F4" s="3" t="str">
        <f t="shared" si="5"/>
        <v>Politiet IF 2 - LBC 2012</v>
      </c>
      <c r="G4" s="206"/>
      <c r="H4" s="138" t="s">
        <v>219</v>
      </c>
      <c r="I4" s="138" t="s">
        <v>165</v>
      </c>
      <c r="J4" s="138" t="s">
        <v>218</v>
      </c>
      <c r="K4" s="138" t="s">
        <v>220</v>
      </c>
      <c r="L4" s="138" t="s">
        <v>38</v>
      </c>
      <c r="M4" s="138" t="s">
        <v>137</v>
      </c>
      <c r="N4" s="138" t="s">
        <v>36</v>
      </c>
      <c r="O4" s="3">
        <v>875</v>
      </c>
      <c r="P4" s="3">
        <v>144</v>
      </c>
      <c r="Q4" s="3">
        <v>6</v>
      </c>
      <c r="R4" s="3">
        <v>4</v>
      </c>
      <c r="S4" s="3" t="str">
        <f t="shared" si="6"/>
        <v>DT Herrer Øst 3 Div. B</v>
      </c>
      <c r="T4" s="3" t="str">
        <f t="shared" si="7"/>
        <v>Politiet IF 2</v>
      </c>
      <c r="U4" s="3" t="str">
        <f t="shared" si="8"/>
        <v>LBC 2012</v>
      </c>
      <c r="V4" s="206"/>
      <c r="W4">
        <v>423009</v>
      </c>
      <c r="X4" t="s">
        <v>183</v>
      </c>
      <c r="Y4" t="s">
        <v>184</v>
      </c>
      <c r="Z4" t="s">
        <v>174</v>
      </c>
      <c r="AA4" t="s">
        <v>64</v>
      </c>
      <c r="AB4" t="s">
        <v>178</v>
      </c>
      <c r="AC4" s="214">
        <v>45220</v>
      </c>
      <c r="AD4" s="190">
        <v>0.5</v>
      </c>
    </row>
    <row r="5" spans="1:30" x14ac:dyDescent="0.25">
      <c r="A5" s="3">
        <f t="shared" si="0"/>
        <v>423016</v>
      </c>
      <c r="B5" s="3" t="str">
        <f t="shared" si="1"/>
        <v>DT Herrer Øst 3 Div. B</v>
      </c>
      <c r="C5" s="204">
        <f t="shared" si="2"/>
        <v>45235</v>
      </c>
      <c r="D5" s="205">
        <f t="shared" si="3"/>
        <v>0.375</v>
      </c>
      <c r="E5" s="3" t="str">
        <f t="shared" si="4"/>
        <v>Køge Bowling Center</v>
      </c>
      <c r="F5" s="3" t="str">
        <f t="shared" si="5"/>
        <v>LBC 2012 - BK Roar 1</v>
      </c>
      <c r="G5" s="206" t="s">
        <v>152</v>
      </c>
      <c r="H5" s="138" t="s">
        <v>144</v>
      </c>
      <c r="I5" s="138" t="s">
        <v>165</v>
      </c>
      <c r="J5" s="138" t="s">
        <v>218</v>
      </c>
      <c r="K5" s="138" t="s">
        <v>220</v>
      </c>
      <c r="L5" s="138" t="s">
        <v>38</v>
      </c>
      <c r="M5" s="138" t="s">
        <v>137</v>
      </c>
      <c r="N5" s="138" t="s">
        <v>219</v>
      </c>
      <c r="O5" s="3">
        <v>800</v>
      </c>
      <c r="P5" s="3">
        <v>144</v>
      </c>
      <c r="Q5" s="3">
        <v>6</v>
      </c>
      <c r="R5" s="3">
        <v>4</v>
      </c>
      <c r="S5" s="3" t="str">
        <f t="shared" si="6"/>
        <v>DT Herrer Øst 3 Div. B</v>
      </c>
      <c r="T5" s="3" t="str">
        <f t="shared" si="7"/>
        <v>LBC 2012</v>
      </c>
      <c r="U5" s="3" t="str">
        <f t="shared" si="8"/>
        <v>BK Roar 1</v>
      </c>
      <c r="V5" s="206"/>
      <c r="W5">
        <v>423016</v>
      </c>
      <c r="X5" t="s">
        <v>183</v>
      </c>
      <c r="Y5" t="s">
        <v>184</v>
      </c>
      <c r="Z5" t="s">
        <v>64</v>
      </c>
      <c r="AA5" t="s">
        <v>167</v>
      </c>
      <c r="AB5" t="s">
        <v>146</v>
      </c>
      <c r="AC5" s="214">
        <v>45235</v>
      </c>
      <c r="AD5" s="190">
        <v>0.375</v>
      </c>
    </row>
    <row r="6" spans="1:30" x14ac:dyDescent="0.25">
      <c r="A6" s="3">
        <f t="shared" si="0"/>
        <v>423020</v>
      </c>
      <c r="B6" s="3" t="str">
        <f t="shared" si="1"/>
        <v>DT Herrer Øst 3 Div. B</v>
      </c>
      <c r="C6" s="204">
        <f t="shared" si="2"/>
        <v>45262</v>
      </c>
      <c r="D6" s="205">
        <f t="shared" si="3"/>
        <v>0.375</v>
      </c>
      <c r="E6" s="3" t="str">
        <f t="shared" si="4"/>
        <v>Køge Bowling Center</v>
      </c>
      <c r="F6" s="3" t="str">
        <f t="shared" si="5"/>
        <v>LBC 2012 - Sporvejene BK 1</v>
      </c>
      <c r="G6" s="206" t="s">
        <v>152</v>
      </c>
      <c r="H6" s="138" t="s">
        <v>144</v>
      </c>
      <c r="I6" s="138" t="s">
        <v>165</v>
      </c>
      <c r="J6" s="138" t="s">
        <v>218</v>
      </c>
      <c r="K6" s="138" t="s">
        <v>220</v>
      </c>
      <c r="L6" s="138" t="s">
        <v>38</v>
      </c>
      <c r="M6" s="138" t="s">
        <v>137</v>
      </c>
      <c r="N6" s="138" t="s">
        <v>219</v>
      </c>
      <c r="O6" s="3">
        <v>800</v>
      </c>
      <c r="P6" s="3">
        <v>144</v>
      </c>
      <c r="Q6" s="3">
        <v>6</v>
      </c>
      <c r="R6" s="3">
        <v>4</v>
      </c>
      <c r="S6" s="3" t="str">
        <f t="shared" si="6"/>
        <v>DT Herrer Øst 3 Div. B</v>
      </c>
      <c r="T6" s="3" t="str">
        <f t="shared" si="7"/>
        <v>LBC 2012</v>
      </c>
      <c r="U6" s="3" t="str">
        <f t="shared" si="8"/>
        <v>Sporvejene BK 1</v>
      </c>
      <c r="V6" s="206"/>
      <c r="W6">
        <v>423020</v>
      </c>
      <c r="X6" t="s">
        <v>183</v>
      </c>
      <c r="Y6" t="s">
        <v>184</v>
      </c>
      <c r="Z6" t="s">
        <v>64</v>
      </c>
      <c r="AA6" t="s">
        <v>185</v>
      </c>
      <c r="AB6" t="s">
        <v>146</v>
      </c>
      <c r="AC6" s="214">
        <v>45262</v>
      </c>
      <c r="AD6" s="190">
        <v>0.375</v>
      </c>
    </row>
    <row r="7" spans="1:30" x14ac:dyDescent="0.25">
      <c r="A7" s="3">
        <f t="shared" si="0"/>
        <v>423022</v>
      </c>
      <c r="B7" s="3" t="str">
        <f t="shared" si="1"/>
        <v>DT Herrer Øst 3 Div. B</v>
      </c>
      <c r="C7" s="204">
        <f t="shared" si="2"/>
        <v>45277</v>
      </c>
      <c r="D7" s="205">
        <f t="shared" si="3"/>
        <v>0.375</v>
      </c>
      <c r="E7" s="3" t="str">
        <f t="shared" si="4"/>
        <v>Bowlernes Hal, Grøndal</v>
      </c>
      <c r="F7" s="3" t="str">
        <f t="shared" si="5"/>
        <v>KBK 1940 2 - LBC 2012</v>
      </c>
      <c r="G7" s="206"/>
      <c r="H7" s="138" t="s">
        <v>144</v>
      </c>
      <c r="I7" s="138" t="s">
        <v>165</v>
      </c>
      <c r="J7" s="138" t="s">
        <v>218</v>
      </c>
      <c r="K7" s="138" t="s">
        <v>220</v>
      </c>
      <c r="L7" s="138" t="s">
        <v>38</v>
      </c>
      <c r="M7" s="138" t="s">
        <v>137</v>
      </c>
      <c r="N7" s="138" t="s">
        <v>219</v>
      </c>
      <c r="O7" s="3">
        <v>800</v>
      </c>
      <c r="P7" s="3">
        <v>144</v>
      </c>
      <c r="Q7" s="3">
        <v>6</v>
      </c>
      <c r="R7" s="3">
        <v>4</v>
      </c>
      <c r="S7" s="3" t="str">
        <f t="shared" si="6"/>
        <v>DT Herrer Øst 3 Div. B</v>
      </c>
      <c r="T7" s="3" t="str">
        <f t="shared" si="7"/>
        <v>KBK 1940 2</v>
      </c>
      <c r="U7" s="3" t="str">
        <f t="shared" si="8"/>
        <v>LBC 2012</v>
      </c>
      <c r="V7" s="206"/>
      <c r="W7">
        <v>423022</v>
      </c>
      <c r="X7" t="s">
        <v>183</v>
      </c>
      <c r="Y7" t="s">
        <v>184</v>
      </c>
      <c r="Z7" t="s">
        <v>173</v>
      </c>
      <c r="AA7" t="s">
        <v>64</v>
      </c>
      <c r="AB7" t="s">
        <v>151</v>
      </c>
      <c r="AC7" s="214">
        <v>45277</v>
      </c>
      <c r="AD7" s="190">
        <v>0.375</v>
      </c>
    </row>
    <row r="8" spans="1:30" x14ac:dyDescent="0.25">
      <c r="A8" s="3">
        <f t="shared" si="0"/>
        <v>423028</v>
      </c>
      <c r="B8" s="3" t="str">
        <f t="shared" si="1"/>
        <v>DT Herrer Øst 3 Div. B</v>
      </c>
      <c r="C8" s="204">
        <f t="shared" si="2"/>
        <v>45311</v>
      </c>
      <c r="D8" s="205">
        <f t="shared" si="3"/>
        <v>0.5</v>
      </c>
      <c r="E8" s="3" t="str">
        <f t="shared" si="4"/>
        <v>Køge Bowling Center</v>
      </c>
      <c r="F8" s="3" t="str">
        <f t="shared" si="5"/>
        <v>LBC 2012 - Sundby 1</v>
      </c>
      <c r="G8" s="206" t="s">
        <v>152</v>
      </c>
      <c r="H8" s="138" t="s">
        <v>144</v>
      </c>
      <c r="I8" s="138" t="s">
        <v>165</v>
      </c>
      <c r="J8" s="138" t="s">
        <v>218</v>
      </c>
      <c r="K8" s="138" t="s">
        <v>219</v>
      </c>
      <c r="L8" s="138" t="s">
        <v>38</v>
      </c>
      <c r="M8" s="138" t="s">
        <v>223</v>
      </c>
      <c r="N8" s="138"/>
      <c r="O8" s="3">
        <v>800</v>
      </c>
      <c r="P8" s="3">
        <v>144</v>
      </c>
      <c r="Q8" s="3">
        <v>6</v>
      </c>
      <c r="R8" s="3">
        <v>4</v>
      </c>
      <c r="S8" s="3" t="str">
        <f t="shared" si="6"/>
        <v>DT Herrer Øst 3 Div. B</v>
      </c>
      <c r="T8" s="3" t="str">
        <f t="shared" si="7"/>
        <v>LBC 2012</v>
      </c>
      <c r="U8" s="3" t="str">
        <f t="shared" si="8"/>
        <v>Sundby 1</v>
      </c>
      <c r="V8" s="206"/>
      <c r="W8">
        <v>423028</v>
      </c>
      <c r="X8" t="s">
        <v>183</v>
      </c>
      <c r="Y8" t="s">
        <v>184</v>
      </c>
      <c r="Z8" t="s">
        <v>64</v>
      </c>
      <c r="AA8" t="s">
        <v>123</v>
      </c>
      <c r="AB8" t="s">
        <v>146</v>
      </c>
      <c r="AC8" s="214">
        <v>45311</v>
      </c>
      <c r="AD8" s="190">
        <v>0.5</v>
      </c>
    </row>
    <row r="9" spans="1:30" x14ac:dyDescent="0.25">
      <c r="A9" s="3">
        <f t="shared" si="0"/>
        <v>423032</v>
      </c>
      <c r="B9" s="3" t="str">
        <f t="shared" si="1"/>
        <v>DT Herrer Øst 3 Div. B</v>
      </c>
      <c r="C9" s="204">
        <f t="shared" si="2"/>
        <v>45325</v>
      </c>
      <c r="D9" s="205">
        <f t="shared" si="3"/>
        <v>0.45833333333333331</v>
      </c>
      <c r="E9" s="3" t="str">
        <f t="shared" si="4"/>
        <v>Køge Bowling Center</v>
      </c>
      <c r="F9" s="3" t="str">
        <f t="shared" si="5"/>
        <v>LBC 2012 - Ellipsen 1</v>
      </c>
      <c r="G9" s="206" t="s">
        <v>152</v>
      </c>
      <c r="H9" s="138" t="s">
        <v>144</v>
      </c>
      <c r="I9" s="138" t="s">
        <v>165</v>
      </c>
      <c r="J9" s="138" t="s">
        <v>218</v>
      </c>
      <c r="K9" s="138" t="s">
        <v>220</v>
      </c>
      <c r="L9" s="138" t="s">
        <v>38</v>
      </c>
      <c r="M9" s="138" t="s">
        <v>223</v>
      </c>
      <c r="N9" s="138" t="s">
        <v>219</v>
      </c>
      <c r="O9" s="3">
        <v>800</v>
      </c>
      <c r="P9" s="3">
        <v>144</v>
      </c>
      <c r="Q9" s="3">
        <v>6</v>
      </c>
      <c r="R9" s="3">
        <v>4</v>
      </c>
      <c r="S9" s="3" t="str">
        <f t="shared" si="6"/>
        <v>DT Herrer Øst 3 Div. B</v>
      </c>
      <c r="T9" s="3" t="str">
        <f t="shared" si="7"/>
        <v>LBC 2012</v>
      </c>
      <c r="U9" s="3" t="str">
        <f t="shared" si="8"/>
        <v>Ellipsen 1</v>
      </c>
      <c r="V9" s="206"/>
      <c r="W9">
        <v>423032</v>
      </c>
      <c r="X9" t="s">
        <v>183</v>
      </c>
      <c r="Y9" t="s">
        <v>184</v>
      </c>
      <c r="Z9" t="s">
        <v>64</v>
      </c>
      <c r="AA9" t="s">
        <v>156</v>
      </c>
      <c r="AB9" t="s">
        <v>146</v>
      </c>
      <c r="AC9" s="214">
        <v>45325</v>
      </c>
      <c r="AD9" s="190">
        <v>0.45833333333333331</v>
      </c>
    </row>
    <row r="10" spans="1:30" x14ac:dyDescent="0.25">
      <c r="A10" s="3">
        <f t="shared" si="0"/>
        <v>423035</v>
      </c>
      <c r="B10" s="3" t="str">
        <f t="shared" si="1"/>
        <v>DT Herrer Øst 3 Div. B</v>
      </c>
      <c r="C10" s="204">
        <f t="shared" si="2"/>
        <v>45346</v>
      </c>
      <c r="D10" s="205">
        <f t="shared" si="3"/>
        <v>0.52083333333333337</v>
      </c>
      <c r="E10" s="3" t="str">
        <f t="shared" si="4"/>
        <v>Bowlernes Hal, Grøndal</v>
      </c>
      <c r="F10" s="3" t="str">
        <f t="shared" si="5"/>
        <v>BK Grøndal 1 - LBC 2012</v>
      </c>
      <c r="G10" s="206"/>
      <c r="H10" s="138" t="s">
        <v>144</v>
      </c>
      <c r="I10" s="138" t="s">
        <v>165</v>
      </c>
      <c r="J10" s="138" t="s">
        <v>218</v>
      </c>
      <c r="K10" s="138" t="s">
        <v>220</v>
      </c>
      <c r="L10" s="138" t="s">
        <v>38</v>
      </c>
      <c r="M10" s="138" t="s">
        <v>223</v>
      </c>
      <c r="N10" s="138" t="s">
        <v>219</v>
      </c>
      <c r="O10" s="3">
        <v>800</v>
      </c>
      <c r="P10" s="3">
        <v>144</v>
      </c>
      <c r="Q10" s="3">
        <v>6</v>
      </c>
      <c r="R10" s="3">
        <v>4</v>
      </c>
      <c r="S10" s="3" t="str">
        <f t="shared" si="6"/>
        <v>DT Herrer Øst 3 Div. B</v>
      </c>
      <c r="T10" s="3" t="str">
        <f t="shared" si="7"/>
        <v>BK Grøndal 1</v>
      </c>
      <c r="U10" s="3" t="str">
        <f t="shared" si="8"/>
        <v>LBC 2012</v>
      </c>
      <c r="V10" s="206"/>
      <c r="W10">
        <v>423035</v>
      </c>
      <c r="X10" t="s">
        <v>183</v>
      </c>
      <c r="Y10" t="s">
        <v>184</v>
      </c>
      <c r="Z10" t="s">
        <v>169</v>
      </c>
      <c r="AA10" t="s">
        <v>64</v>
      </c>
      <c r="AB10" t="s">
        <v>151</v>
      </c>
      <c r="AC10" s="214">
        <v>45346</v>
      </c>
      <c r="AD10" s="190">
        <v>0.52083333333333337</v>
      </c>
    </row>
    <row r="11" spans="1:30" x14ac:dyDescent="0.25">
      <c r="A11" s="3">
        <f t="shared" si="0"/>
        <v>423040</v>
      </c>
      <c r="B11" s="3" t="str">
        <f t="shared" si="1"/>
        <v>DT Herrer Øst 3 Div. B</v>
      </c>
      <c r="C11" s="204">
        <f t="shared" si="2"/>
        <v>45368</v>
      </c>
      <c r="D11" s="205">
        <f t="shared" si="3"/>
        <v>0.375</v>
      </c>
      <c r="E11" s="3" t="str">
        <f t="shared" si="4"/>
        <v>Køge Bowling Center</v>
      </c>
      <c r="F11" s="3" t="str">
        <f t="shared" si="5"/>
        <v>LBC 2012 - Politiet IF 2</v>
      </c>
      <c r="G11" s="206" t="s">
        <v>152</v>
      </c>
      <c r="H11" s="138" t="s">
        <v>144</v>
      </c>
      <c r="I11" s="138" t="s">
        <v>165</v>
      </c>
      <c r="J11" s="138" t="s">
        <v>218</v>
      </c>
      <c r="K11" s="138" t="s">
        <v>220</v>
      </c>
      <c r="L11" s="138" t="s">
        <v>38</v>
      </c>
      <c r="M11" s="138" t="s">
        <v>223</v>
      </c>
      <c r="N11" s="138" t="s">
        <v>219</v>
      </c>
      <c r="O11" s="3">
        <v>800</v>
      </c>
      <c r="P11" s="3">
        <v>144</v>
      </c>
      <c r="Q11" s="3">
        <v>6</v>
      </c>
      <c r="R11" s="3">
        <v>4</v>
      </c>
      <c r="S11" s="3" t="str">
        <f t="shared" si="6"/>
        <v>DT Herrer Øst 3 Div. B</v>
      </c>
      <c r="T11" s="3" t="str">
        <f t="shared" si="7"/>
        <v>LBC 2012</v>
      </c>
      <c r="U11" s="3" t="str">
        <f t="shared" si="8"/>
        <v>Politiet IF 2</v>
      </c>
      <c r="V11" s="206"/>
      <c r="W11">
        <v>423040</v>
      </c>
      <c r="X11" t="s">
        <v>183</v>
      </c>
      <c r="Y11" t="s">
        <v>184</v>
      </c>
      <c r="Z11" t="s">
        <v>64</v>
      </c>
      <c r="AA11" t="s">
        <v>174</v>
      </c>
      <c r="AB11" t="s">
        <v>146</v>
      </c>
      <c r="AC11" s="214">
        <v>45368</v>
      </c>
      <c r="AD11" s="190">
        <v>0.375</v>
      </c>
    </row>
    <row r="12" spans="1:30" x14ac:dyDescent="0.25">
      <c r="A12" s="3">
        <f t="shared" si="0"/>
        <v>423041</v>
      </c>
      <c r="B12" s="3" t="str">
        <f t="shared" si="1"/>
        <v>DT Herrer Øst 3 Div. B</v>
      </c>
      <c r="C12" s="204">
        <f t="shared" si="2"/>
        <v>45374</v>
      </c>
      <c r="D12" s="205">
        <f t="shared" si="3"/>
        <v>0.45833333333333331</v>
      </c>
      <c r="E12" s="3" t="str">
        <f t="shared" si="4"/>
        <v>City Bowling Roskilde</v>
      </c>
      <c r="F12" s="3" t="str">
        <f t="shared" si="5"/>
        <v>BK Roar 1 - LBC 2012</v>
      </c>
      <c r="G12" s="206"/>
      <c r="H12" s="138" t="s">
        <v>144</v>
      </c>
      <c r="I12" s="138" t="s">
        <v>165</v>
      </c>
      <c r="J12" s="138" t="s">
        <v>218</v>
      </c>
      <c r="K12" s="138" t="s">
        <v>220</v>
      </c>
      <c r="L12" s="138" t="s">
        <v>38</v>
      </c>
      <c r="M12" s="138" t="s">
        <v>223</v>
      </c>
      <c r="N12" s="138" t="s">
        <v>219</v>
      </c>
      <c r="O12" s="3">
        <v>675</v>
      </c>
      <c r="P12" s="3">
        <v>144</v>
      </c>
      <c r="Q12" s="3">
        <v>6</v>
      </c>
      <c r="R12" s="3">
        <v>4</v>
      </c>
      <c r="S12" s="3" t="str">
        <f t="shared" si="6"/>
        <v>DT Herrer Øst 3 Div. B</v>
      </c>
      <c r="T12" s="3" t="str">
        <f t="shared" si="7"/>
        <v>BK Roar 1</v>
      </c>
      <c r="U12" s="3" t="str">
        <f t="shared" si="8"/>
        <v>LBC 2012</v>
      </c>
      <c r="V12" s="206"/>
      <c r="W12">
        <v>423041</v>
      </c>
      <c r="X12" t="s">
        <v>183</v>
      </c>
      <c r="Y12" t="s">
        <v>184</v>
      </c>
      <c r="Z12" t="s">
        <v>167</v>
      </c>
      <c r="AA12" t="s">
        <v>64</v>
      </c>
      <c r="AB12" t="s">
        <v>186</v>
      </c>
      <c r="AC12" s="214">
        <v>45374</v>
      </c>
      <c r="AD12" s="190">
        <v>0.45833333333333331</v>
      </c>
    </row>
    <row r="13" spans="1:30" x14ac:dyDescent="0.25">
      <c r="A13" s="3">
        <f t="shared" si="0"/>
        <v>423048</v>
      </c>
      <c r="B13" s="3" t="str">
        <f t="shared" si="1"/>
        <v>DT Herrer Øst 3 Div. B</v>
      </c>
      <c r="C13" s="204">
        <f t="shared" si="2"/>
        <v>45396</v>
      </c>
      <c r="D13" s="205">
        <f t="shared" si="3"/>
        <v>0.47916666666666669</v>
      </c>
      <c r="E13" s="3" t="str">
        <f t="shared" si="4"/>
        <v>Rødovre Bowlinghal</v>
      </c>
      <c r="F13" s="3" t="str">
        <f t="shared" si="5"/>
        <v>Sporvejene BK 1 - LBC 2012</v>
      </c>
      <c r="G13" s="206"/>
      <c r="H13" s="138" t="s">
        <v>144</v>
      </c>
      <c r="I13" s="138" t="s">
        <v>165</v>
      </c>
      <c r="J13" s="138" t="s">
        <v>218</v>
      </c>
      <c r="K13" s="138" t="s">
        <v>220</v>
      </c>
      <c r="L13" s="138" t="s">
        <v>38</v>
      </c>
      <c r="M13" s="138" t="s">
        <v>223</v>
      </c>
      <c r="N13" s="138" t="s">
        <v>219</v>
      </c>
      <c r="O13" s="3">
        <v>875</v>
      </c>
      <c r="P13" s="3">
        <v>144</v>
      </c>
      <c r="Q13" s="3">
        <v>6</v>
      </c>
      <c r="R13" s="3">
        <v>4</v>
      </c>
      <c r="S13" s="3" t="str">
        <f t="shared" si="6"/>
        <v>DT Herrer Øst 3 Div. B</v>
      </c>
      <c r="T13" s="3" t="str">
        <f t="shared" si="7"/>
        <v>Sporvejene BK 1</v>
      </c>
      <c r="U13" s="3" t="str">
        <f t="shared" si="8"/>
        <v>LBC 2012</v>
      </c>
      <c r="V13" s="206"/>
      <c r="W13">
        <v>423048</v>
      </c>
      <c r="X13" t="s">
        <v>183</v>
      </c>
      <c r="Y13" t="s">
        <v>184</v>
      </c>
      <c r="Z13" t="s">
        <v>185</v>
      </c>
      <c r="AA13" t="s">
        <v>64</v>
      </c>
      <c r="AB13" t="s">
        <v>178</v>
      </c>
      <c r="AC13" s="214">
        <v>45396</v>
      </c>
      <c r="AD13" s="190">
        <v>0.47916666666666669</v>
      </c>
    </row>
    <row r="14" spans="1:30" x14ac:dyDescent="0.25">
      <c r="A14" s="3">
        <f t="shared" si="0"/>
        <v>423052</v>
      </c>
      <c r="B14" s="3" t="str">
        <f t="shared" si="1"/>
        <v>DT Herrer Øst 3 Div. B</v>
      </c>
      <c r="C14" s="204">
        <f t="shared" si="2"/>
        <v>45410</v>
      </c>
      <c r="D14" s="205">
        <f t="shared" si="3"/>
        <v>0.45833333333333331</v>
      </c>
      <c r="E14" s="3" t="str">
        <f t="shared" si="4"/>
        <v>Køge Bowling Center</v>
      </c>
      <c r="F14" s="3" t="str">
        <f t="shared" si="5"/>
        <v>LBC 2012 - KBK 1940 2</v>
      </c>
      <c r="G14" s="206" t="s">
        <v>152</v>
      </c>
      <c r="H14" s="138" t="s">
        <v>144</v>
      </c>
      <c r="I14" s="138" t="s">
        <v>165</v>
      </c>
      <c r="J14" s="138" t="s">
        <v>218</v>
      </c>
      <c r="K14" s="138" t="s">
        <v>220</v>
      </c>
      <c r="L14" s="138" t="s">
        <v>38</v>
      </c>
      <c r="M14" s="138" t="s">
        <v>223</v>
      </c>
      <c r="N14" s="138" t="s">
        <v>219</v>
      </c>
      <c r="O14" s="3">
        <v>800</v>
      </c>
      <c r="P14" s="3">
        <v>144</v>
      </c>
      <c r="Q14" s="3">
        <v>6</v>
      </c>
      <c r="R14" s="3">
        <v>4</v>
      </c>
      <c r="S14" s="3" t="str">
        <f t="shared" si="6"/>
        <v>DT Herrer Øst 3 Div. B</v>
      </c>
      <c r="T14" s="3" t="str">
        <f t="shared" si="7"/>
        <v>LBC 2012</v>
      </c>
      <c r="U14" s="3" t="str">
        <f t="shared" si="8"/>
        <v>KBK 1940 2</v>
      </c>
      <c r="V14" s="206"/>
      <c r="W14">
        <v>423052</v>
      </c>
      <c r="X14" t="s">
        <v>183</v>
      </c>
      <c r="Y14" t="s">
        <v>184</v>
      </c>
      <c r="Z14" t="s">
        <v>64</v>
      </c>
      <c r="AA14" t="s">
        <v>173</v>
      </c>
      <c r="AB14" t="s">
        <v>146</v>
      </c>
      <c r="AC14" s="214">
        <v>45410</v>
      </c>
      <c r="AD14" s="190">
        <v>0.45833333333333331</v>
      </c>
    </row>
    <row r="15" spans="1:30" x14ac:dyDescent="0.25">
      <c r="A15" s="3">
        <f t="shared" si="0"/>
        <v>423056</v>
      </c>
      <c r="B15" s="3" t="str">
        <f t="shared" si="1"/>
        <v>DT Herrer Øst 3 Div. B</v>
      </c>
      <c r="C15" s="204">
        <f t="shared" si="2"/>
        <v>45438</v>
      </c>
      <c r="D15" s="205">
        <f t="shared" si="3"/>
        <v>0.375</v>
      </c>
      <c r="E15" s="3" t="str">
        <f t="shared" si="4"/>
        <v>BBC Tårnby</v>
      </c>
      <c r="F15" s="3" t="str">
        <f t="shared" si="5"/>
        <v>Sundby 1 - LBC 2012</v>
      </c>
      <c r="G15" s="206"/>
      <c r="H15" s="138" t="s">
        <v>144</v>
      </c>
      <c r="I15" s="138" t="s">
        <v>165</v>
      </c>
      <c r="J15" s="138" t="s">
        <v>218</v>
      </c>
      <c r="K15" s="138" t="s">
        <v>220</v>
      </c>
      <c r="L15" s="138" t="s">
        <v>38</v>
      </c>
      <c r="M15" s="138" t="s">
        <v>223</v>
      </c>
      <c r="N15" s="138" t="s">
        <v>219</v>
      </c>
      <c r="O15" s="3">
        <v>911</v>
      </c>
      <c r="P15" s="3">
        <v>144</v>
      </c>
      <c r="Q15" s="3">
        <v>6</v>
      </c>
      <c r="R15" s="3">
        <v>4</v>
      </c>
      <c r="S15" s="3" t="str">
        <f t="shared" si="6"/>
        <v>DT Herrer Øst 3 Div. B</v>
      </c>
      <c r="T15" s="3" t="str">
        <f t="shared" si="7"/>
        <v>Sundby 1</v>
      </c>
      <c r="U15" s="3" t="str">
        <f t="shared" si="8"/>
        <v>LBC 2012</v>
      </c>
      <c r="V15" s="206"/>
      <c r="W15">
        <v>423056</v>
      </c>
      <c r="X15" t="s">
        <v>183</v>
      </c>
      <c r="Y15" t="s">
        <v>184</v>
      </c>
      <c r="Z15" t="s">
        <v>123</v>
      </c>
      <c r="AA15" t="s">
        <v>64</v>
      </c>
      <c r="AB15" t="s">
        <v>147</v>
      </c>
      <c r="AC15" s="214">
        <v>45438</v>
      </c>
      <c r="AD15" s="190">
        <v>0.375</v>
      </c>
    </row>
    <row r="16" spans="1:30" hidden="1" x14ac:dyDescent="0.25">
      <c r="A16" s="3">
        <f t="shared" si="0"/>
        <v>423449</v>
      </c>
      <c r="B16" s="3" t="str">
        <f t="shared" si="1"/>
        <v>Øst 4-Damers Hold Pulje 1</v>
      </c>
      <c r="C16" s="204">
        <f t="shared" si="2"/>
        <v>45171</v>
      </c>
      <c r="D16" s="205">
        <f t="shared" si="3"/>
        <v>0.45833333333333331</v>
      </c>
      <c r="E16" s="3" t="str">
        <f t="shared" si="4"/>
        <v>Køge Bowling Center</v>
      </c>
      <c r="F16" s="3" t="str">
        <f t="shared" si="5"/>
        <v>LBC 2012 - BK Keglerne 1</v>
      </c>
      <c r="G16" s="206" t="s">
        <v>36</v>
      </c>
      <c r="H16" s="138" t="s">
        <v>128</v>
      </c>
      <c r="I16" s="138" t="s">
        <v>41</v>
      </c>
      <c r="J16" s="138" t="s">
        <v>37</v>
      </c>
      <c r="K16" s="138" t="s">
        <v>217</v>
      </c>
      <c r="L16" s="138" t="s">
        <v>36</v>
      </c>
      <c r="M16" s="138"/>
      <c r="N16" s="138"/>
      <c r="O16" s="3">
        <v>640</v>
      </c>
      <c r="P16" s="3">
        <v>96</v>
      </c>
      <c r="Q16" s="3">
        <v>4</v>
      </c>
      <c r="R16" s="3">
        <v>4</v>
      </c>
      <c r="S16" s="3" t="str">
        <f t="shared" si="6"/>
        <v>Øst 4-Damers Hold Pulje 1</v>
      </c>
      <c r="T16" s="3" t="str">
        <f t="shared" si="7"/>
        <v>LBC 2012</v>
      </c>
      <c r="U16" s="3" t="str">
        <f t="shared" si="8"/>
        <v>BK Keglerne 1</v>
      </c>
      <c r="V16" s="206"/>
      <c r="W16">
        <v>423449</v>
      </c>
      <c r="X16" t="s">
        <v>187</v>
      </c>
      <c r="Y16" t="s">
        <v>188</v>
      </c>
      <c r="Z16" t="s">
        <v>64</v>
      </c>
      <c r="AA16" t="s">
        <v>155</v>
      </c>
      <c r="AB16" t="s">
        <v>146</v>
      </c>
      <c r="AC16" s="214">
        <v>45171</v>
      </c>
      <c r="AD16" s="190">
        <v>0.45833333333333331</v>
      </c>
    </row>
    <row r="17" spans="1:30" hidden="1" x14ac:dyDescent="0.25">
      <c r="A17" s="3">
        <f t="shared" si="0"/>
        <v>423452</v>
      </c>
      <c r="B17" s="3" t="str">
        <f t="shared" si="1"/>
        <v>Øst 4-Damers Hold Pulje 1</v>
      </c>
      <c r="C17" s="204">
        <f t="shared" si="2"/>
        <v>45193</v>
      </c>
      <c r="D17" s="205">
        <f t="shared" si="3"/>
        <v>0.375</v>
      </c>
      <c r="E17" s="3" t="str">
        <f t="shared" si="4"/>
        <v>Cecilie´s</v>
      </c>
      <c r="F17" s="3" t="str">
        <f t="shared" si="5"/>
        <v>BK Rolling Stones 1 - LBC 2012</v>
      </c>
      <c r="G17" s="206"/>
      <c r="H17" s="138" t="s">
        <v>217</v>
      </c>
      <c r="I17" s="138" t="s">
        <v>41</v>
      </c>
      <c r="J17" s="138" t="s">
        <v>37</v>
      </c>
      <c r="K17" s="138" t="s">
        <v>36</v>
      </c>
      <c r="L17" s="138" t="s">
        <v>128</v>
      </c>
      <c r="M17" s="138"/>
      <c r="N17" s="138"/>
      <c r="O17" s="3">
        <v>640</v>
      </c>
      <c r="P17" s="3">
        <v>96</v>
      </c>
      <c r="Q17" s="3">
        <v>4</v>
      </c>
      <c r="R17" s="3">
        <v>4</v>
      </c>
      <c r="S17" s="3" t="str">
        <f t="shared" si="6"/>
        <v>Øst 4-Damers Hold Pulje 1</v>
      </c>
      <c r="T17" s="3" t="str">
        <f t="shared" si="7"/>
        <v>BK Rolling Stones 1</v>
      </c>
      <c r="U17" s="3" t="str">
        <f t="shared" si="8"/>
        <v>LBC 2012</v>
      </c>
      <c r="V17" s="206"/>
      <c r="W17">
        <v>423452</v>
      </c>
      <c r="X17" t="s">
        <v>187</v>
      </c>
      <c r="Y17" t="s">
        <v>188</v>
      </c>
      <c r="Z17" t="s">
        <v>170</v>
      </c>
      <c r="AA17" t="s">
        <v>64</v>
      </c>
      <c r="AB17" t="s">
        <v>149</v>
      </c>
      <c r="AC17" s="214">
        <v>45193</v>
      </c>
      <c r="AD17" s="190">
        <v>0.375</v>
      </c>
    </row>
    <row r="18" spans="1:30" hidden="1" x14ac:dyDescent="0.25">
      <c r="A18" s="3">
        <f t="shared" si="0"/>
        <v>423454</v>
      </c>
      <c r="B18" s="3" t="str">
        <f t="shared" si="1"/>
        <v>Øst 4-Damers Hold Pulje 1</v>
      </c>
      <c r="C18" s="204">
        <f t="shared" si="2"/>
        <v>45220</v>
      </c>
      <c r="D18" s="205">
        <f t="shared" si="3"/>
        <v>0.35416666666666669</v>
      </c>
      <c r="E18" s="3" t="str">
        <f t="shared" si="4"/>
        <v>Køge Bowling Center</v>
      </c>
      <c r="F18" s="3" t="str">
        <f t="shared" si="5"/>
        <v>LBC 2012 - FBK 2000 1</v>
      </c>
      <c r="G18" s="206" t="s">
        <v>36</v>
      </c>
      <c r="H18" s="138" t="s">
        <v>37</v>
      </c>
      <c r="I18" s="138" t="s">
        <v>128</v>
      </c>
      <c r="J18" s="138" t="s">
        <v>42</v>
      </c>
      <c r="K18" s="138" t="s">
        <v>36</v>
      </c>
      <c r="L18" s="138"/>
      <c r="M18" s="138"/>
      <c r="N18" s="138"/>
      <c r="O18" s="3">
        <v>640</v>
      </c>
      <c r="P18" s="3">
        <v>96</v>
      </c>
      <c r="Q18" s="3">
        <v>4</v>
      </c>
      <c r="R18" s="3">
        <v>4</v>
      </c>
      <c r="S18" s="3" t="str">
        <f t="shared" si="6"/>
        <v>Øst 4-Damers Hold Pulje 1</v>
      </c>
      <c r="T18" s="3" t="str">
        <f t="shared" si="7"/>
        <v>LBC 2012</v>
      </c>
      <c r="U18" s="3" t="str">
        <f t="shared" si="8"/>
        <v>FBK 2000 1</v>
      </c>
      <c r="V18" s="206"/>
      <c r="W18">
        <v>423454</v>
      </c>
      <c r="X18" t="s">
        <v>187</v>
      </c>
      <c r="Y18" t="s">
        <v>188</v>
      </c>
      <c r="Z18" t="s">
        <v>64</v>
      </c>
      <c r="AA18" t="s">
        <v>176</v>
      </c>
      <c r="AB18" t="s">
        <v>146</v>
      </c>
      <c r="AC18" s="214">
        <v>45220</v>
      </c>
      <c r="AD18" s="190">
        <v>0.35416666666666669</v>
      </c>
    </row>
    <row r="19" spans="1:30" x14ac:dyDescent="0.25">
      <c r="A19" s="3">
        <f t="shared" si="0"/>
        <v>423456</v>
      </c>
      <c r="B19" s="3" t="str">
        <f t="shared" si="1"/>
        <v>Øst 4-Damers Hold Pulje 1</v>
      </c>
      <c r="C19" s="204">
        <f t="shared" si="2"/>
        <v>45235</v>
      </c>
      <c r="D19" s="205">
        <f t="shared" si="3"/>
        <v>0.64583333333333337</v>
      </c>
      <c r="E19" s="3" t="str">
        <f t="shared" si="4"/>
        <v>Rødovre Bowlinghal</v>
      </c>
      <c r="F19" s="3" t="str">
        <f t="shared" si="5"/>
        <v>Ellipsen 1 - LBC 2012</v>
      </c>
      <c r="G19" s="206"/>
      <c r="H19" s="138" t="s">
        <v>37</v>
      </c>
      <c r="I19" s="138" t="s">
        <v>217</v>
      </c>
      <c r="J19" s="138" t="s">
        <v>41</v>
      </c>
      <c r="K19" s="138" t="s">
        <v>36</v>
      </c>
      <c r="L19" s="138" t="s">
        <v>128</v>
      </c>
      <c r="M19" s="138"/>
      <c r="N19" s="138"/>
      <c r="O19" s="3">
        <v>700</v>
      </c>
      <c r="P19" s="3">
        <v>96</v>
      </c>
      <c r="Q19" s="3">
        <v>4</v>
      </c>
      <c r="R19" s="3">
        <v>4</v>
      </c>
      <c r="S19" s="3" t="str">
        <f t="shared" si="6"/>
        <v>Øst 4-Damers Hold Pulje 1</v>
      </c>
      <c r="T19" s="3" t="str">
        <f t="shared" si="7"/>
        <v>Ellipsen 1</v>
      </c>
      <c r="U19" s="3" t="str">
        <f t="shared" si="8"/>
        <v>LBC 2012</v>
      </c>
      <c r="V19" s="206"/>
      <c r="W19">
        <v>423456</v>
      </c>
      <c r="X19" t="s">
        <v>187</v>
      </c>
      <c r="Y19" t="s">
        <v>188</v>
      </c>
      <c r="Z19" t="s">
        <v>156</v>
      </c>
      <c r="AA19" t="s">
        <v>64</v>
      </c>
      <c r="AB19" t="s">
        <v>178</v>
      </c>
      <c r="AC19" s="214">
        <v>45235</v>
      </c>
      <c r="AD19" s="190">
        <v>0.64583333333333337</v>
      </c>
    </row>
    <row r="20" spans="1:30" x14ac:dyDescent="0.25">
      <c r="A20" s="3">
        <f t="shared" si="0"/>
        <v>423461</v>
      </c>
      <c r="B20" s="3" t="str">
        <f t="shared" si="1"/>
        <v>Øst 4-Damers Hold Pulje 1</v>
      </c>
      <c r="C20" s="204">
        <f t="shared" si="2"/>
        <v>45256</v>
      </c>
      <c r="D20" s="205">
        <f t="shared" si="3"/>
        <v>0.41666666666666669</v>
      </c>
      <c r="E20" s="3" t="str">
        <f t="shared" si="4"/>
        <v>Ballerup Bowling</v>
      </c>
      <c r="F20" s="3" t="str">
        <f t="shared" si="5"/>
        <v>Allerød BC 1 - LBC 2012</v>
      </c>
      <c r="G20" s="206"/>
      <c r="H20" s="138" t="s">
        <v>41</v>
      </c>
      <c r="I20" s="138" t="s">
        <v>217</v>
      </c>
      <c r="J20" s="138" t="s">
        <v>37</v>
      </c>
      <c r="K20" s="138" t="s">
        <v>36</v>
      </c>
      <c r="L20" s="138" t="s">
        <v>128</v>
      </c>
      <c r="M20" s="138"/>
      <c r="N20" s="138"/>
      <c r="O20" s="3">
        <v>730</v>
      </c>
      <c r="P20" s="3">
        <v>96</v>
      </c>
      <c r="Q20" s="3">
        <v>4</v>
      </c>
      <c r="R20" s="3">
        <v>4</v>
      </c>
      <c r="S20" s="3" t="str">
        <f t="shared" si="6"/>
        <v>Øst 4-Damers Hold Pulje 1</v>
      </c>
      <c r="T20" s="3" t="str">
        <f t="shared" si="7"/>
        <v>Allerød BC 1</v>
      </c>
      <c r="U20" s="3" t="str">
        <f t="shared" si="8"/>
        <v>LBC 2012</v>
      </c>
      <c r="V20" s="206"/>
      <c r="W20">
        <v>423461</v>
      </c>
      <c r="X20" t="s">
        <v>187</v>
      </c>
      <c r="Y20" t="s">
        <v>188</v>
      </c>
      <c r="Z20" t="s">
        <v>189</v>
      </c>
      <c r="AA20" t="s">
        <v>64</v>
      </c>
      <c r="AB20" t="s">
        <v>190</v>
      </c>
      <c r="AC20" s="214">
        <v>45256</v>
      </c>
      <c r="AD20" s="190">
        <v>0.41666666666666669</v>
      </c>
    </row>
    <row r="21" spans="1:30" x14ac:dyDescent="0.25">
      <c r="A21" s="3">
        <f t="shared" si="0"/>
        <v>423467</v>
      </c>
      <c r="B21" s="3" t="str">
        <f t="shared" si="1"/>
        <v>Øst 4-Damers Hold Pulje 1</v>
      </c>
      <c r="C21" s="204">
        <f t="shared" si="2"/>
        <v>45311</v>
      </c>
      <c r="D21" s="205">
        <f t="shared" si="3"/>
        <v>0.5</v>
      </c>
      <c r="E21" s="3" t="str">
        <f t="shared" si="4"/>
        <v>Køge Bowling Center</v>
      </c>
      <c r="F21" s="3" t="str">
        <f t="shared" si="5"/>
        <v>LBC 2012 - BK Center 1</v>
      </c>
      <c r="G21" s="206" t="s">
        <v>36</v>
      </c>
      <c r="H21" s="138" t="s">
        <v>221</v>
      </c>
      <c r="I21" s="138" t="s">
        <v>41</v>
      </c>
      <c r="J21" s="138" t="s">
        <v>217</v>
      </c>
      <c r="K21" s="138" t="s">
        <v>36</v>
      </c>
      <c r="L21" s="138" t="s">
        <v>128</v>
      </c>
      <c r="M21" s="138"/>
      <c r="N21" s="138"/>
      <c r="O21" s="3">
        <v>640</v>
      </c>
      <c r="P21" s="3">
        <v>96</v>
      </c>
      <c r="Q21" s="3">
        <v>4</v>
      </c>
      <c r="R21" s="3">
        <v>4</v>
      </c>
      <c r="S21" s="3" t="str">
        <f t="shared" si="6"/>
        <v>Øst 4-Damers Hold Pulje 1</v>
      </c>
      <c r="T21" s="3" t="str">
        <f t="shared" si="7"/>
        <v>LBC 2012</v>
      </c>
      <c r="U21" s="3" t="str">
        <f t="shared" si="8"/>
        <v>BK Center 1</v>
      </c>
      <c r="V21" s="206"/>
      <c r="W21">
        <v>423467</v>
      </c>
      <c r="X21" t="s">
        <v>187</v>
      </c>
      <c r="Y21" t="s">
        <v>188</v>
      </c>
      <c r="Z21" t="s">
        <v>64</v>
      </c>
      <c r="AA21" t="s">
        <v>154</v>
      </c>
      <c r="AB21" t="s">
        <v>146</v>
      </c>
      <c r="AC21" s="214">
        <v>45311</v>
      </c>
      <c r="AD21" s="190">
        <v>0.5</v>
      </c>
    </row>
    <row r="22" spans="1:30" x14ac:dyDescent="0.25">
      <c r="A22" s="3">
        <f t="shared" si="0"/>
        <v>423468</v>
      </c>
      <c r="B22" s="3" t="str">
        <f t="shared" si="1"/>
        <v>Øst 4-Damers Hold Pulje 1</v>
      </c>
      <c r="C22" s="204">
        <f t="shared" si="2"/>
        <v>45326</v>
      </c>
      <c r="D22" s="205">
        <f t="shared" si="3"/>
        <v>0.5</v>
      </c>
      <c r="E22" s="3" t="str">
        <f t="shared" si="4"/>
        <v>Rødovre Bowlinghal</v>
      </c>
      <c r="F22" s="3" t="str">
        <f t="shared" si="5"/>
        <v>BK Keglerne 1 - LBC 2012</v>
      </c>
      <c r="G22" s="206"/>
      <c r="H22" s="138" t="s">
        <v>221</v>
      </c>
      <c r="I22" s="138" t="s">
        <v>217</v>
      </c>
      <c r="J22" s="138" t="s">
        <v>41</v>
      </c>
      <c r="K22" s="138" t="s">
        <v>36</v>
      </c>
      <c r="L22" s="138" t="s">
        <v>128</v>
      </c>
      <c r="M22" s="138"/>
      <c r="N22" s="138"/>
      <c r="O22" s="3">
        <v>700</v>
      </c>
      <c r="P22" s="3">
        <v>96</v>
      </c>
      <c r="Q22" s="3">
        <v>4</v>
      </c>
      <c r="R22" s="3">
        <v>4</v>
      </c>
      <c r="S22" s="3" t="str">
        <f t="shared" si="6"/>
        <v>Øst 4-Damers Hold Pulje 1</v>
      </c>
      <c r="T22" s="3" t="str">
        <f t="shared" si="7"/>
        <v>BK Keglerne 1</v>
      </c>
      <c r="U22" s="3" t="str">
        <f t="shared" si="8"/>
        <v>LBC 2012</v>
      </c>
      <c r="V22" s="206"/>
      <c r="W22">
        <v>423468</v>
      </c>
      <c r="X22" t="s">
        <v>187</v>
      </c>
      <c r="Y22" t="s">
        <v>188</v>
      </c>
      <c r="Z22" t="s">
        <v>155</v>
      </c>
      <c r="AA22" t="s">
        <v>64</v>
      </c>
      <c r="AB22" t="s">
        <v>178</v>
      </c>
      <c r="AC22" s="214">
        <v>45326</v>
      </c>
      <c r="AD22" s="190">
        <v>0.5</v>
      </c>
    </row>
    <row r="23" spans="1:30" x14ac:dyDescent="0.25">
      <c r="A23" s="3">
        <f t="shared" si="0"/>
        <v>423472</v>
      </c>
      <c r="B23" s="3" t="str">
        <f t="shared" si="1"/>
        <v>Øst 4-Damers Hold Pulje 1</v>
      </c>
      <c r="C23" s="204">
        <f t="shared" si="2"/>
        <v>45346</v>
      </c>
      <c r="D23" s="205">
        <f t="shared" si="3"/>
        <v>0.52083333333333337</v>
      </c>
      <c r="E23" s="3" t="str">
        <f t="shared" si="4"/>
        <v>Køge Bowling Center</v>
      </c>
      <c r="F23" s="3" t="str">
        <f t="shared" si="5"/>
        <v>LBC 2012 - BK Rolling Stones 1</v>
      </c>
      <c r="G23" s="206" t="s">
        <v>36</v>
      </c>
      <c r="H23" s="138" t="s">
        <v>41</v>
      </c>
      <c r="I23" s="138" t="s">
        <v>217</v>
      </c>
      <c r="J23" s="138" t="s">
        <v>36</v>
      </c>
      <c r="K23" s="138" t="s">
        <v>128</v>
      </c>
      <c r="L23" s="138"/>
      <c r="M23" s="138"/>
      <c r="N23" s="138"/>
      <c r="O23" s="3">
        <v>640</v>
      </c>
      <c r="P23" s="3">
        <v>96</v>
      </c>
      <c r="Q23" s="3">
        <v>4</v>
      </c>
      <c r="R23" s="3">
        <v>4</v>
      </c>
      <c r="S23" s="3" t="str">
        <f t="shared" si="6"/>
        <v>Øst 4-Damers Hold Pulje 1</v>
      </c>
      <c r="T23" s="3" t="str">
        <f t="shared" si="7"/>
        <v>LBC 2012</v>
      </c>
      <c r="U23" s="3" t="str">
        <f t="shared" si="8"/>
        <v>BK Rolling Stones 1</v>
      </c>
      <c r="V23" s="206"/>
      <c r="W23">
        <v>423472</v>
      </c>
      <c r="X23" t="s">
        <v>187</v>
      </c>
      <c r="Y23" t="s">
        <v>188</v>
      </c>
      <c r="Z23" t="s">
        <v>64</v>
      </c>
      <c r="AA23" t="s">
        <v>170</v>
      </c>
      <c r="AB23" t="s">
        <v>146</v>
      </c>
      <c r="AC23" s="214">
        <v>45346</v>
      </c>
      <c r="AD23" s="190">
        <v>0.52083333333333337</v>
      </c>
    </row>
    <row r="24" spans="1:30" x14ac:dyDescent="0.25">
      <c r="A24" s="3">
        <f t="shared" si="0"/>
        <v>423476</v>
      </c>
      <c r="B24" s="3" t="str">
        <f t="shared" si="1"/>
        <v>Øst 4-Damers Hold Pulje 1</v>
      </c>
      <c r="C24" s="204">
        <f t="shared" si="2"/>
        <v>45368</v>
      </c>
      <c r="D24" s="205">
        <f t="shared" si="3"/>
        <v>0.52083333333333337</v>
      </c>
      <c r="E24" s="3" t="str">
        <f t="shared" si="4"/>
        <v>Fjordbowling - Frederikssund</v>
      </c>
      <c r="F24" s="3" t="str">
        <f t="shared" si="5"/>
        <v>FBK 2000 1 - LBC 2012</v>
      </c>
      <c r="G24" s="206"/>
      <c r="H24" s="138" t="s">
        <v>221</v>
      </c>
      <c r="I24" s="138" t="s">
        <v>41</v>
      </c>
      <c r="J24" s="138" t="s">
        <v>217</v>
      </c>
      <c r="K24" s="138" t="s">
        <v>36</v>
      </c>
      <c r="L24" s="138" t="s">
        <v>128</v>
      </c>
      <c r="M24" s="138"/>
      <c r="N24" s="138"/>
      <c r="O24" s="3">
        <v>640</v>
      </c>
      <c r="P24" s="3">
        <v>96</v>
      </c>
      <c r="Q24" s="3">
        <v>4</v>
      </c>
      <c r="R24" s="3">
        <v>4</v>
      </c>
      <c r="S24" s="3" t="str">
        <f t="shared" si="6"/>
        <v>Øst 4-Damers Hold Pulje 1</v>
      </c>
      <c r="T24" s="3" t="str">
        <f t="shared" si="7"/>
        <v>FBK 2000 1</v>
      </c>
      <c r="U24" s="3" t="str">
        <f t="shared" si="8"/>
        <v>LBC 2012</v>
      </c>
      <c r="V24" s="206"/>
      <c r="W24">
        <v>423476</v>
      </c>
      <c r="X24" t="s">
        <v>187</v>
      </c>
      <c r="Y24" t="s">
        <v>188</v>
      </c>
      <c r="Z24" t="s">
        <v>176</v>
      </c>
      <c r="AA24" t="s">
        <v>64</v>
      </c>
      <c r="AB24" t="s">
        <v>148</v>
      </c>
      <c r="AC24" s="214">
        <v>45368</v>
      </c>
      <c r="AD24" s="190">
        <v>0.52083333333333337</v>
      </c>
    </row>
    <row r="25" spans="1:30" x14ac:dyDescent="0.25">
      <c r="A25" s="3">
        <f t="shared" si="0"/>
        <v>423478</v>
      </c>
      <c r="B25" s="3" t="str">
        <f t="shared" si="1"/>
        <v>Øst 4-Damers Hold Pulje 1</v>
      </c>
      <c r="C25" s="204">
        <f t="shared" si="2"/>
        <v>45374</v>
      </c>
      <c r="D25" s="205">
        <f t="shared" si="3"/>
        <v>0.375</v>
      </c>
      <c r="E25" s="3" t="str">
        <f t="shared" si="4"/>
        <v>Køge Bowling Center</v>
      </c>
      <c r="F25" s="3" t="str">
        <f t="shared" si="5"/>
        <v>LBC 2012 - Ellipsen 1</v>
      </c>
      <c r="G25" s="206" t="s">
        <v>36</v>
      </c>
      <c r="H25" s="138" t="s">
        <v>41</v>
      </c>
      <c r="I25" s="138" t="s">
        <v>217</v>
      </c>
      <c r="J25" s="138" t="s">
        <v>221</v>
      </c>
      <c r="K25" s="138" t="s">
        <v>36</v>
      </c>
      <c r="L25" s="138" t="s">
        <v>128</v>
      </c>
      <c r="M25" s="138"/>
      <c r="N25" s="138"/>
      <c r="O25" s="3">
        <v>640</v>
      </c>
      <c r="P25" s="3">
        <v>96</v>
      </c>
      <c r="Q25" s="3">
        <v>4</v>
      </c>
      <c r="R25" s="3">
        <v>4</v>
      </c>
      <c r="S25" s="3" t="str">
        <f t="shared" si="6"/>
        <v>Øst 4-Damers Hold Pulje 1</v>
      </c>
      <c r="T25" s="3" t="str">
        <f t="shared" si="7"/>
        <v>LBC 2012</v>
      </c>
      <c r="U25" s="3" t="str">
        <f t="shared" si="8"/>
        <v>Ellipsen 1</v>
      </c>
      <c r="V25" s="206"/>
      <c r="W25">
        <v>423478</v>
      </c>
      <c r="X25" t="s">
        <v>187</v>
      </c>
      <c r="Y25" t="s">
        <v>188</v>
      </c>
      <c r="Z25" t="s">
        <v>64</v>
      </c>
      <c r="AA25" t="s">
        <v>156</v>
      </c>
      <c r="AB25" t="s">
        <v>146</v>
      </c>
      <c r="AC25" s="214">
        <v>45374</v>
      </c>
      <c r="AD25" s="190">
        <v>0.375</v>
      </c>
    </row>
    <row r="26" spans="1:30" x14ac:dyDescent="0.25">
      <c r="A26" s="3">
        <f t="shared" si="0"/>
        <v>423482</v>
      </c>
      <c r="B26" s="3" t="str">
        <f t="shared" si="1"/>
        <v>Øst 4-Damers Hold Pulje 1</v>
      </c>
      <c r="C26" s="204">
        <f t="shared" si="2"/>
        <v>45396</v>
      </c>
      <c r="D26" s="205">
        <f t="shared" si="3"/>
        <v>0.52083333333333337</v>
      </c>
      <c r="E26" s="3" t="str">
        <f t="shared" si="4"/>
        <v>Køge Bowling Center</v>
      </c>
      <c r="F26" s="3" t="str">
        <f t="shared" si="5"/>
        <v>LBC 2012 - Allerød BC 1</v>
      </c>
      <c r="G26" s="206" t="s">
        <v>36</v>
      </c>
      <c r="H26" s="138" t="s">
        <v>37</v>
      </c>
      <c r="I26" s="138" t="s">
        <v>217</v>
      </c>
      <c r="J26" s="138" t="s">
        <v>41</v>
      </c>
      <c r="K26" s="138" t="s">
        <v>36</v>
      </c>
      <c r="L26" s="138" t="s">
        <v>128</v>
      </c>
      <c r="M26" s="138"/>
      <c r="N26" s="138"/>
      <c r="O26" s="3">
        <v>640</v>
      </c>
      <c r="P26" s="3">
        <v>96</v>
      </c>
      <c r="Q26" s="3">
        <v>4</v>
      </c>
      <c r="R26" s="3">
        <v>4</v>
      </c>
      <c r="S26" s="3" t="str">
        <f t="shared" si="6"/>
        <v>Øst 4-Damers Hold Pulje 1</v>
      </c>
      <c r="T26" s="3" t="str">
        <f t="shared" si="7"/>
        <v>LBC 2012</v>
      </c>
      <c r="U26" s="3" t="str">
        <f t="shared" si="8"/>
        <v>Allerød BC 1</v>
      </c>
      <c r="V26" s="206"/>
      <c r="W26">
        <v>423482</v>
      </c>
      <c r="X26" t="s">
        <v>187</v>
      </c>
      <c r="Y26" t="s">
        <v>188</v>
      </c>
      <c r="Z26" t="s">
        <v>64</v>
      </c>
      <c r="AA26" t="s">
        <v>189</v>
      </c>
      <c r="AB26" t="s">
        <v>146</v>
      </c>
      <c r="AC26" s="214">
        <v>45396</v>
      </c>
      <c r="AD26" s="190">
        <v>0.52083333333333337</v>
      </c>
    </row>
    <row r="27" spans="1:30" x14ac:dyDescent="0.25">
      <c r="A27" s="3">
        <f t="shared" si="0"/>
        <v>423486</v>
      </c>
      <c r="B27" s="3" t="str">
        <f t="shared" si="1"/>
        <v>Øst 4-Damers Hold Pulje 1</v>
      </c>
      <c r="C27" s="204">
        <f t="shared" si="2"/>
        <v>45438</v>
      </c>
      <c r="D27" s="205">
        <f t="shared" si="3"/>
        <v>0.60416666666666663</v>
      </c>
      <c r="E27" s="3" t="str">
        <f t="shared" si="4"/>
        <v>Rødovre Bowlinghal</v>
      </c>
      <c r="F27" s="3" t="str">
        <f t="shared" si="5"/>
        <v>BK Center 1 - LBC 2012</v>
      </c>
      <c r="G27" s="206"/>
      <c r="H27" s="138" t="s">
        <v>37</v>
      </c>
      <c r="I27" s="138" t="s">
        <v>41</v>
      </c>
      <c r="J27" s="138" t="s">
        <v>217</v>
      </c>
      <c r="K27" s="138" t="s">
        <v>36</v>
      </c>
      <c r="L27" s="138" t="s">
        <v>128</v>
      </c>
      <c r="M27" s="138"/>
      <c r="N27" s="138"/>
      <c r="O27" s="3">
        <v>700</v>
      </c>
      <c r="P27" s="3">
        <v>96</v>
      </c>
      <c r="Q27" s="3">
        <v>4</v>
      </c>
      <c r="R27" s="3">
        <v>4</v>
      </c>
      <c r="S27" s="3" t="str">
        <f t="shared" si="6"/>
        <v>Øst 4-Damers Hold Pulje 1</v>
      </c>
      <c r="T27" s="3" t="str">
        <f t="shared" si="7"/>
        <v>BK Center 1</v>
      </c>
      <c r="U27" s="3" t="str">
        <f t="shared" si="8"/>
        <v>LBC 2012</v>
      </c>
      <c r="V27" s="206"/>
      <c r="W27">
        <v>423486</v>
      </c>
      <c r="X27" t="s">
        <v>187</v>
      </c>
      <c r="Y27" t="s">
        <v>188</v>
      </c>
      <c r="Z27" t="s">
        <v>154</v>
      </c>
      <c r="AA27" t="s">
        <v>64</v>
      </c>
      <c r="AB27" t="s">
        <v>178</v>
      </c>
      <c r="AC27" s="214">
        <v>45438</v>
      </c>
      <c r="AD27" s="190">
        <v>0.60416666666666663</v>
      </c>
    </row>
    <row r="28" spans="1:30" hidden="1" x14ac:dyDescent="0.25">
      <c r="A28" s="3">
        <f t="shared" si="0"/>
        <v>422684</v>
      </c>
      <c r="B28" s="3" t="str">
        <f t="shared" si="1"/>
        <v>Øst Række Damer Pulje 1</v>
      </c>
      <c r="C28" s="204">
        <f t="shared" si="2"/>
        <v>45172</v>
      </c>
      <c r="D28" s="205">
        <f t="shared" si="3"/>
        <v>0.45833333333333331</v>
      </c>
      <c r="E28" s="3" t="str">
        <f t="shared" si="4"/>
        <v>Køge Bowling Center</v>
      </c>
      <c r="F28" s="3" t="str">
        <f t="shared" si="5"/>
        <v>LBC 2012 - Ravnsborg 1</v>
      </c>
      <c r="G28" s="206" t="s">
        <v>42</v>
      </c>
      <c r="H28" s="138" t="s">
        <v>145</v>
      </c>
      <c r="I28" s="138" t="s">
        <v>42</v>
      </c>
      <c r="J28" s="138" t="s">
        <v>36</v>
      </c>
      <c r="K28" s="138"/>
      <c r="L28" s="138"/>
      <c r="M28" s="138"/>
      <c r="N28" s="138"/>
      <c r="O28" s="3">
        <v>400</v>
      </c>
      <c r="P28" s="3">
        <v>72</v>
      </c>
      <c r="Q28" s="3">
        <v>3</v>
      </c>
      <c r="R28" s="3">
        <v>4</v>
      </c>
      <c r="S28" s="3" t="str">
        <f t="shared" si="6"/>
        <v>Øst Række Damer Pulje 1</v>
      </c>
      <c r="T28" s="3" t="str">
        <f t="shared" si="7"/>
        <v>LBC 2012</v>
      </c>
      <c r="U28" s="3" t="str">
        <f t="shared" si="8"/>
        <v>Ravnsborg 1</v>
      </c>
      <c r="V28" s="206"/>
      <c r="W28">
        <v>422684</v>
      </c>
      <c r="X28" t="s">
        <v>191</v>
      </c>
      <c r="Y28" t="s">
        <v>188</v>
      </c>
      <c r="Z28" t="s">
        <v>64</v>
      </c>
      <c r="AA28" t="s">
        <v>175</v>
      </c>
      <c r="AB28" t="s">
        <v>146</v>
      </c>
      <c r="AC28" s="214">
        <v>45172</v>
      </c>
      <c r="AD28" s="190">
        <v>0.45833333333333331</v>
      </c>
    </row>
    <row r="29" spans="1:30" hidden="1" x14ac:dyDescent="0.25">
      <c r="A29" s="3">
        <f t="shared" si="0"/>
        <v>422686</v>
      </c>
      <c r="B29" s="3" t="str">
        <f t="shared" si="1"/>
        <v>Øst Række Damer Pulje 1</v>
      </c>
      <c r="C29" s="204">
        <f t="shared" si="2"/>
        <v>45192</v>
      </c>
      <c r="D29" s="205">
        <f t="shared" si="3"/>
        <v>0.375</v>
      </c>
      <c r="E29" s="3" t="str">
        <f t="shared" si="4"/>
        <v>Bowlernes Hal, Grøndal</v>
      </c>
      <c r="F29" s="3" t="str">
        <f t="shared" si="5"/>
        <v>Pin-Crackers 1 - LBC 2012</v>
      </c>
      <c r="G29" s="206"/>
      <c r="H29" s="138" t="s">
        <v>145</v>
      </c>
      <c r="I29" s="138" t="s">
        <v>47</v>
      </c>
      <c r="J29" s="138" t="s">
        <v>42</v>
      </c>
      <c r="K29" s="138" t="s">
        <v>36</v>
      </c>
      <c r="L29" s="138"/>
      <c r="M29" s="138"/>
      <c r="N29" s="138"/>
      <c r="O29" s="3">
        <v>400</v>
      </c>
      <c r="P29" s="3">
        <v>72</v>
      </c>
      <c r="Q29" s="3">
        <v>3</v>
      </c>
      <c r="R29" s="3">
        <v>4</v>
      </c>
      <c r="S29" s="3" t="str">
        <f t="shared" si="6"/>
        <v>Øst Række Damer Pulje 1</v>
      </c>
      <c r="T29" s="3" t="str">
        <f t="shared" si="7"/>
        <v>Pin-Crackers 1</v>
      </c>
      <c r="U29" s="3" t="str">
        <f t="shared" si="8"/>
        <v>LBC 2012</v>
      </c>
      <c r="V29" s="206"/>
      <c r="W29">
        <v>422686</v>
      </c>
      <c r="X29" t="s">
        <v>191</v>
      </c>
      <c r="Y29" t="s">
        <v>188</v>
      </c>
      <c r="Z29" t="s">
        <v>192</v>
      </c>
      <c r="AA29" t="s">
        <v>64</v>
      </c>
      <c r="AB29" t="s">
        <v>151</v>
      </c>
      <c r="AC29" s="214">
        <v>45192</v>
      </c>
      <c r="AD29" s="190">
        <v>0.375</v>
      </c>
    </row>
    <row r="30" spans="1:30" hidden="1" x14ac:dyDescent="0.25">
      <c r="A30" s="3">
        <f t="shared" si="0"/>
        <v>422688</v>
      </c>
      <c r="B30" s="3" t="str">
        <f t="shared" si="1"/>
        <v>Øst Række Damer Pulje 1</v>
      </c>
      <c r="C30" s="204">
        <f t="shared" si="2"/>
        <v>45206</v>
      </c>
      <c r="D30" s="205">
        <f t="shared" si="3"/>
        <v>0.45833333333333331</v>
      </c>
      <c r="E30" s="3" t="str">
        <f t="shared" si="4"/>
        <v>Køge Bowling Center</v>
      </c>
      <c r="F30" s="3" t="str">
        <f t="shared" si="5"/>
        <v>LBC 2012 - Jackpot 1</v>
      </c>
      <c r="G30" s="206" t="s">
        <v>42</v>
      </c>
      <c r="H30" s="138" t="s">
        <v>145</v>
      </c>
      <c r="I30" s="138" t="s">
        <v>47</v>
      </c>
      <c r="J30" s="138" t="s">
        <v>42</v>
      </c>
      <c r="K30" s="138" t="s">
        <v>36</v>
      </c>
      <c r="L30" s="138"/>
      <c r="M30" s="138"/>
      <c r="N30" s="138"/>
      <c r="O30" s="3">
        <v>400</v>
      </c>
      <c r="P30" s="3">
        <v>72</v>
      </c>
      <c r="Q30" s="3">
        <v>3</v>
      </c>
      <c r="R30" s="3">
        <v>4</v>
      </c>
      <c r="S30" s="3" t="str">
        <f t="shared" si="6"/>
        <v>Øst Række Damer Pulje 1</v>
      </c>
      <c r="T30" s="3" t="str">
        <f t="shared" si="7"/>
        <v>LBC 2012</v>
      </c>
      <c r="U30" s="3" t="str">
        <f t="shared" si="8"/>
        <v>Jackpot 1</v>
      </c>
      <c r="V30" s="206"/>
      <c r="W30">
        <v>422688</v>
      </c>
      <c r="X30" t="s">
        <v>191</v>
      </c>
      <c r="Y30" t="s">
        <v>188</v>
      </c>
      <c r="Z30" t="s">
        <v>64</v>
      </c>
      <c r="AA30" t="s">
        <v>158</v>
      </c>
      <c r="AB30" t="s">
        <v>146</v>
      </c>
      <c r="AC30" s="214">
        <v>45206</v>
      </c>
      <c r="AD30" s="190">
        <v>0.45833333333333331</v>
      </c>
    </row>
    <row r="31" spans="1:30" hidden="1" x14ac:dyDescent="0.25">
      <c r="A31" s="3">
        <f t="shared" si="0"/>
        <v>422689</v>
      </c>
      <c r="B31" s="3" t="str">
        <f t="shared" si="1"/>
        <v>Øst Række Damer Pulje 1</v>
      </c>
      <c r="C31" s="204">
        <f t="shared" si="2"/>
        <v>45221</v>
      </c>
      <c r="D31" s="205">
        <f t="shared" si="3"/>
        <v>0.5</v>
      </c>
      <c r="E31" s="3" t="str">
        <f t="shared" si="4"/>
        <v>Rødovre Bowlinghal</v>
      </c>
      <c r="F31" s="3" t="str">
        <f t="shared" si="5"/>
        <v>Triominos 1 - LBC 2012</v>
      </c>
      <c r="G31" s="206"/>
      <c r="H31" s="138" t="s">
        <v>42</v>
      </c>
      <c r="I31" s="138" t="s">
        <v>47</v>
      </c>
      <c r="J31" s="138" t="s">
        <v>36</v>
      </c>
      <c r="K31" s="138" t="s">
        <v>145</v>
      </c>
      <c r="L31" s="138"/>
      <c r="M31" s="138"/>
      <c r="N31" s="138"/>
      <c r="O31" s="3">
        <v>437.5</v>
      </c>
      <c r="P31" s="3">
        <v>72</v>
      </c>
      <c r="Q31" s="3">
        <v>3</v>
      </c>
      <c r="R31" s="3">
        <v>4</v>
      </c>
      <c r="S31" s="3" t="str">
        <f t="shared" si="6"/>
        <v>Øst Række Damer Pulje 1</v>
      </c>
      <c r="T31" s="3" t="str">
        <f t="shared" si="7"/>
        <v>Triominos 1</v>
      </c>
      <c r="U31" s="3" t="str">
        <f t="shared" si="8"/>
        <v>LBC 2012</v>
      </c>
      <c r="V31" s="206"/>
      <c r="W31">
        <v>422689</v>
      </c>
      <c r="X31" t="s">
        <v>191</v>
      </c>
      <c r="Y31" t="s">
        <v>188</v>
      </c>
      <c r="Z31" t="s">
        <v>125</v>
      </c>
      <c r="AA31" t="s">
        <v>64</v>
      </c>
      <c r="AB31" t="s">
        <v>178</v>
      </c>
      <c r="AC31" s="214">
        <v>45221</v>
      </c>
      <c r="AD31" s="190">
        <v>0.5</v>
      </c>
    </row>
    <row r="32" spans="1:30" x14ac:dyDescent="0.25">
      <c r="A32" s="3">
        <f t="shared" si="0"/>
        <v>422693</v>
      </c>
      <c r="B32" s="3" t="str">
        <f t="shared" si="1"/>
        <v>Øst Række Damer Pulje 1</v>
      </c>
      <c r="C32" s="204">
        <f t="shared" si="2"/>
        <v>45235</v>
      </c>
      <c r="D32" s="205">
        <f t="shared" si="3"/>
        <v>0.375</v>
      </c>
      <c r="E32" s="3" t="str">
        <f t="shared" si="4"/>
        <v>Køge Bowling Center</v>
      </c>
      <c r="F32" s="3" t="str">
        <f t="shared" si="5"/>
        <v>Ravnsborg 1 - LBC 2012</v>
      </c>
      <c r="G32" s="206" t="s">
        <v>42</v>
      </c>
      <c r="H32" s="138" t="s">
        <v>42</v>
      </c>
      <c r="I32" s="138" t="s">
        <v>47</v>
      </c>
      <c r="J32" s="138" t="s">
        <v>36</v>
      </c>
      <c r="K32" s="138" t="s">
        <v>145</v>
      </c>
      <c r="L32" s="138"/>
      <c r="M32" s="138"/>
      <c r="N32" s="138"/>
      <c r="O32" s="3">
        <v>400</v>
      </c>
      <c r="P32" s="3">
        <v>72</v>
      </c>
      <c r="Q32" s="3">
        <v>3</v>
      </c>
      <c r="R32" s="3">
        <v>4</v>
      </c>
      <c r="S32" s="3" t="str">
        <f t="shared" si="6"/>
        <v>Øst Række Damer Pulje 1</v>
      </c>
      <c r="T32" s="3" t="str">
        <f t="shared" si="7"/>
        <v>Ravnsborg 1</v>
      </c>
      <c r="U32" s="3" t="str">
        <f t="shared" si="8"/>
        <v>LBC 2012</v>
      </c>
      <c r="V32" s="206"/>
      <c r="W32">
        <v>422693</v>
      </c>
      <c r="X32" t="s">
        <v>191</v>
      </c>
      <c r="Y32" t="s">
        <v>188</v>
      </c>
      <c r="Z32" t="s">
        <v>175</v>
      </c>
      <c r="AA32" t="s">
        <v>64</v>
      </c>
      <c r="AB32" t="s">
        <v>146</v>
      </c>
      <c r="AC32" s="214">
        <v>45235</v>
      </c>
      <c r="AD32" s="190">
        <v>0.375</v>
      </c>
    </row>
    <row r="33" spans="1:30" x14ac:dyDescent="0.25">
      <c r="A33" s="3">
        <f t="shared" si="0"/>
        <v>422696</v>
      </c>
      <c r="B33" s="3" t="str">
        <f t="shared" si="1"/>
        <v>Øst Række Damer Pulje 1</v>
      </c>
      <c r="C33" s="204">
        <f t="shared" si="2"/>
        <v>45255</v>
      </c>
      <c r="D33" s="205">
        <f t="shared" si="3"/>
        <v>0.4375</v>
      </c>
      <c r="E33" s="3" t="str">
        <f t="shared" si="4"/>
        <v>Køge Bowling Center</v>
      </c>
      <c r="F33" s="3" t="str">
        <f t="shared" si="5"/>
        <v>LBC 2012 - Pin-Crackers 1</v>
      </c>
      <c r="G33" s="206" t="s">
        <v>42</v>
      </c>
      <c r="H33" s="138" t="s">
        <v>42</v>
      </c>
      <c r="I33" s="138" t="s">
        <v>47</v>
      </c>
      <c r="J33" s="138" t="s">
        <v>36</v>
      </c>
      <c r="K33" s="138" t="s">
        <v>145</v>
      </c>
      <c r="L33" s="138"/>
      <c r="M33" s="138"/>
      <c r="N33" s="138"/>
      <c r="O33" s="3">
        <v>400</v>
      </c>
      <c r="P33" s="3">
        <v>72</v>
      </c>
      <c r="Q33" s="3">
        <v>3</v>
      </c>
      <c r="R33" s="3">
        <v>4</v>
      </c>
      <c r="S33" s="3" t="str">
        <f t="shared" si="6"/>
        <v>Øst Række Damer Pulje 1</v>
      </c>
      <c r="T33" s="3" t="str">
        <f t="shared" si="7"/>
        <v>LBC 2012</v>
      </c>
      <c r="U33" s="3" t="str">
        <f t="shared" si="8"/>
        <v>Pin-Crackers 1</v>
      </c>
      <c r="V33" s="206"/>
      <c r="W33">
        <v>422696</v>
      </c>
      <c r="X33" t="s">
        <v>191</v>
      </c>
      <c r="Y33" t="s">
        <v>188</v>
      </c>
      <c r="Z33" t="s">
        <v>64</v>
      </c>
      <c r="AA33" t="s">
        <v>192</v>
      </c>
      <c r="AB33" t="s">
        <v>146</v>
      </c>
      <c r="AC33" s="214">
        <v>45255</v>
      </c>
      <c r="AD33" s="190">
        <v>0.4375</v>
      </c>
    </row>
    <row r="34" spans="1:30" x14ac:dyDescent="0.25">
      <c r="A34" s="3">
        <f t="shared" si="0"/>
        <v>422698</v>
      </c>
      <c r="B34" s="3" t="str">
        <f t="shared" si="1"/>
        <v>Øst Række Damer Pulje 1</v>
      </c>
      <c r="C34" s="204">
        <f t="shared" si="2"/>
        <v>45312</v>
      </c>
      <c r="D34" s="205">
        <f t="shared" si="3"/>
        <v>0.375</v>
      </c>
      <c r="E34" s="3" t="str">
        <f t="shared" si="4"/>
        <v>Bowlernes Hal, Grøndal</v>
      </c>
      <c r="F34" s="3" t="str">
        <f t="shared" si="5"/>
        <v>Jackpot 1 - LBC 2012</v>
      </c>
      <c r="G34" s="206"/>
      <c r="H34" s="138" t="s">
        <v>42</v>
      </c>
      <c r="I34" s="138" t="s">
        <v>47</v>
      </c>
      <c r="J34" s="138" t="s">
        <v>36</v>
      </c>
      <c r="K34" s="138" t="s">
        <v>145</v>
      </c>
      <c r="L34" s="138"/>
      <c r="M34" s="138"/>
      <c r="N34" s="138"/>
      <c r="O34" s="3">
        <v>400</v>
      </c>
      <c r="P34" s="3">
        <v>72</v>
      </c>
      <c r="Q34" s="3">
        <v>3</v>
      </c>
      <c r="R34" s="3">
        <v>4</v>
      </c>
      <c r="S34" s="3" t="str">
        <f t="shared" si="6"/>
        <v>Øst Række Damer Pulje 1</v>
      </c>
      <c r="T34" s="3" t="str">
        <f t="shared" si="7"/>
        <v>Jackpot 1</v>
      </c>
      <c r="U34" s="3" t="str">
        <f t="shared" si="8"/>
        <v>LBC 2012</v>
      </c>
      <c r="V34" s="206"/>
      <c r="W34">
        <v>422698</v>
      </c>
      <c r="X34" t="s">
        <v>191</v>
      </c>
      <c r="Y34" t="s">
        <v>188</v>
      </c>
      <c r="Z34" t="s">
        <v>158</v>
      </c>
      <c r="AA34" t="s">
        <v>64</v>
      </c>
      <c r="AB34" t="s">
        <v>151</v>
      </c>
      <c r="AC34" s="214">
        <v>45312</v>
      </c>
      <c r="AD34" s="190">
        <v>0.375</v>
      </c>
    </row>
    <row r="35" spans="1:30" x14ac:dyDescent="0.25">
      <c r="A35" s="3">
        <f t="shared" si="0"/>
        <v>422700</v>
      </c>
      <c r="B35" s="3" t="str">
        <f t="shared" si="1"/>
        <v>Øst Række Damer Pulje 1</v>
      </c>
      <c r="C35" s="204">
        <f t="shared" si="2"/>
        <v>45325</v>
      </c>
      <c r="D35" s="205">
        <f t="shared" si="3"/>
        <v>0.45833333333333331</v>
      </c>
      <c r="E35" s="3" t="str">
        <f t="shared" si="4"/>
        <v>Køge Bowling Center</v>
      </c>
      <c r="F35" s="3" t="str">
        <f t="shared" si="5"/>
        <v>LBC 2012 - Triominos 1</v>
      </c>
      <c r="G35" s="206" t="s">
        <v>42</v>
      </c>
      <c r="H35" s="138" t="s">
        <v>42</v>
      </c>
      <c r="I35" s="138" t="s">
        <v>47</v>
      </c>
      <c r="J35" s="138" t="s">
        <v>36</v>
      </c>
      <c r="K35" s="138" t="s">
        <v>145</v>
      </c>
      <c r="L35" s="138"/>
      <c r="M35" s="138"/>
      <c r="N35" s="138"/>
      <c r="O35" s="3">
        <v>400</v>
      </c>
      <c r="P35" s="3">
        <v>72</v>
      </c>
      <c r="Q35" s="3">
        <v>3</v>
      </c>
      <c r="R35" s="3">
        <v>4</v>
      </c>
      <c r="S35" s="3" t="str">
        <f t="shared" si="6"/>
        <v>Øst Række Damer Pulje 1</v>
      </c>
      <c r="T35" s="3" t="str">
        <f t="shared" si="7"/>
        <v>LBC 2012</v>
      </c>
      <c r="U35" s="3" t="str">
        <f t="shared" si="8"/>
        <v>Triominos 1</v>
      </c>
      <c r="V35" s="206"/>
      <c r="W35">
        <v>422700</v>
      </c>
      <c r="X35" t="s">
        <v>191</v>
      </c>
      <c r="Y35" t="s">
        <v>188</v>
      </c>
      <c r="Z35" t="s">
        <v>64</v>
      </c>
      <c r="AA35" t="s">
        <v>125</v>
      </c>
      <c r="AB35" t="s">
        <v>146</v>
      </c>
      <c r="AC35" s="214">
        <v>45325</v>
      </c>
      <c r="AD35" s="190">
        <v>0.45833333333333331</v>
      </c>
    </row>
    <row r="36" spans="1:30" x14ac:dyDescent="0.25">
      <c r="A36" s="3">
        <f t="shared" si="0"/>
        <v>422704</v>
      </c>
      <c r="B36" s="3" t="str">
        <f t="shared" si="1"/>
        <v>Øst Række Damer Pulje 1</v>
      </c>
      <c r="C36" s="204">
        <f t="shared" si="2"/>
        <v>45361</v>
      </c>
      <c r="D36" s="205">
        <f t="shared" si="3"/>
        <v>0.45833333333333331</v>
      </c>
      <c r="E36" s="3" t="str">
        <f t="shared" si="4"/>
        <v>Køge Bowling Center</v>
      </c>
      <c r="F36" s="3" t="str">
        <f t="shared" si="5"/>
        <v>LBC 2012 - Ravnsborg 1</v>
      </c>
      <c r="G36" s="206" t="s">
        <v>42</v>
      </c>
      <c r="H36" s="138" t="s">
        <v>42</v>
      </c>
      <c r="I36" s="138" t="s">
        <v>47</v>
      </c>
      <c r="J36" s="138" t="s">
        <v>36</v>
      </c>
      <c r="K36" s="138" t="s">
        <v>145</v>
      </c>
      <c r="L36" s="138"/>
      <c r="M36" s="138"/>
      <c r="N36" s="138"/>
      <c r="O36" s="3">
        <v>400</v>
      </c>
      <c r="P36" s="3">
        <v>72</v>
      </c>
      <c r="Q36" s="3">
        <v>3</v>
      </c>
      <c r="R36" s="3">
        <v>4</v>
      </c>
      <c r="S36" s="3" t="str">
        <f t="shared" si="6"/>
        <v>Øst Række Damer Pulje 1</v>
      </c>
      <c r="T36" s="3" t="str">
        <f t="shared" si="7"/>
        <v>LBC 2012</v>
      </c>
      <c r="U36" s="3" t="str">
        <f t="shared" si="8"/>
        <v>Ravnsborg 1</v>
      </c>
      <c r="V36" s="206"/>
      <c r="W36">
        <v>422704</v>
      </c>
      <c r="X36" t="s">
        <v>191</v>
      </c>
      <c r="Y36" t="s">
        <v>188</v>
      </c>
      <c r="Z36" t="s">
        <v>64</v>
      </c>
      <c r="AA36" t="s">
        <v>175</v>
      </c>
      <c r="AB36" t="s">
        <v>146</v>
      </c>
      <c r="AC36" s="214">
        <v>45361</v>
      </c>
      <c r="AD36" s="190">
        <v>0.45833333333333331</v>
      </c>
    </row>
    <row r="37" spans="1:30" x14ac:dyDescent="0.25">
      <c r="A37" s="3">
        <f t="shared" si="0"/>
        <v>422706</v>
      </c>
      <c r="B37" s="3" t="str">
        <f t="shared" si="1"/>
        <v>Øst Række Damer Pulje 1</v>
      </c>
      <c r="C37" s="204">
        <f t="shared" si="2"/>
        <v>45375</v>
      </c>
      <c r="D37" s="205">
        <f t="shared" si="3"/>
        <v>0.5</v>
      </c>
      <c r="E37" s="3" t="str">
        <f t="shared" si="4"/>
        <v>Bowlernes Hal, Grøndal</v>
      </c>
      <c r="F37" s="3" t="str">
        <f t="shared" si="5"/>
        <v>Pin-Crackers 1 - LBC 2012</v>
      </c>
      <c r="G37" s="206"/>
      <c r="H37" s="138" t="s">
        <v>42</v>
      </c>
      <c r="I37" s="138" t="s">
        <v>47</v>
      </c>
      <c r="J37" s="138" t="s">
        <v>36</v>
      </c>
      <c r="K37" s="138" t="s">
        <v>145</v>
      </c>
      <c r="L37" s="138"/>
      <c r="M37" s="138"/>
      <c r="N37" s="138"/>
      <c r="O37" s="3">
        <v>400</v>
      </c>
      <c r="P37" s="3">
        <v>72</v>
      </c>
      <c r="Q37" s="3">
        <v>3</v>
      </c>
      <c r="R37" s="3">
        <v>4</v>
      </c>
      <c r="S37" s="3" t="str">
        <f t="shared" si="6"/>
        <v>Øst Række Damer Pulje 1</v>
      </c>
      <c r="T37" s="3" t="str">
        <f t="shared" si="7"/>
        <v>Pin-Crackers 1</v>
      </c>
      <c r="U37" s="3" t="str">
        <f t="shared" si="8"/>
        <v>LBC 2012</v>
      </c>
      <c r="V37" s="206"/>
      <c r="W37">
        <v>422706</v>
      </c>
      <c r="X37" t="s">
        <v>191</v>
      </c>
      <c r="Y37" t="s">
        <v>188</v>
      </c>
      <c r="Z37" t="s">
        <v>192</v>
      </c>
      <c r="AA37" t="s">
        <v>64</v>
      </c>
      <c r="AB37" t="s">
        <v>151</v>
      </c>
      <c r="AC37" s="214">
        <v>45375</v>
      </c>
      <c r="AD37" s="190">
        <v>0.5</v>
      </c>
    </row>
    <row r="38" spans="1:30" x14ac:dyDescent="0.25">
      <c r="A38" s="3">
        <f t="shared" si="0"/>
        <v>422708</v>
      </c>
      <c r="B38" s="3" t="str">
        <f t="shared" si="1"/>
        <v>Øst Række Damer Pulje 1</v>
      </c>
      <c r="C38" s="204">
        <f t="shared" si="2"/>
        <v>45395</v>
      </c>
      <c r="D38" s="205">
        <f t="shared" si="3"/>
        <v>0.375</v>
      </c>
      <c r="E38" s="3" t="str">
        <f t="shared" si="4"/>
        <v>Køge Bowling Center</v>
      </c>
      <c r="F38" s="3" t="str">
        <f t="shared" si="5"/>
        <v>LBC 2012 - Jackpot 1</v>
      </c>
      <c r="G38" s="206" t="s">
        <v>42</v>
      </c>
      <c r="H38" s="138" t="s">
        <v>42</v>
      </c>
      <c r="I38" s="138" t="s">
        <v>47</v>
      </c>
      <c r="J38" s="138" t="s">
        <v>36</v>
      </c>
      <c r="K38" s="138" t="s">
        <v>145</v>
      </c>
      <c r="L38" s="138"/>
      <c r="M38" s="138"/>
      <c r="N38" s="138"/>
      <c r="O38" s="3">
        <v>400</v>
      </c>
      <c r="P38" s="3">
        <v>72</v>
      </c>
      <c r="Q38" s="3">
        <v>3</v>
      </c>
      <c r="R38" s="3">
        <v>4</v>
      </c>
      <c r="S38" s="3" t="str">
        <f t="shared" si="6"/>
        <v>Øst Række Damer Pulje 1</v>
      </c>
      <c r="T38" s="3" t="str">
        <f t="shared" si="7"/>
        <v>LBC 2012</v>
      </c>
      <c r="U38" s="3" t="str">
        <f t="shared" si="8"/>
        <v>Jackpot 1</v>
      </c>
      <c r="V38" s="206"/>
      <c r="W38">
        <v>422708</v>
      </c>
      <c r="X38" t="s">
        <v>191</v>
      </c>
      <c r="Y38" t="s">
        <v>188</v>
      </c>
      <c r="Z38" t="s">
        <v>64</v>
      </c>
      <c r="AA38" t="s">
        <v>158</v>
      </c>
      <c r="AB38" t="s">
        <v>146</v>
      </c>
      <c r="AC38" s="214">
        <v>45395</v>
      </c>
      <c r="AD38" s="190">
        <v>0.375</v>
      </c>
    </row>
    <row r="39" spans="1:30" x14ac:dyDescent="0.25">
      <c r="A39" s="3">
        <f t="shared" si="0"/>
        <v>422709</v>
      </c>
      <c r="B39" s="3" t="str">
        <f t="shared" si="1"/>
        <v>Øst Række Damer Pulje 1</v>
      </c>
      <c r="C39" s="204">
        <f t="shared" si="2"/>
        <v>45402</v>
      </c>
      <c r="D39" s="205">
        <f t="shared" si="3"/>
        <v>0.60416666666666663</v>
      </c>
      <c r="E39" s="3" t="str">
        <f t="shared" si="4"/>
        <v>Rødovre Bowlinghal</v>
      </c>
      <c r="F39" s="3" t="str">
        <f t="shared" si="5"/>
        <v>Triominos 1 - LBC 2012</v>
      </c>
      <c r="G39" s="206"/>
      <c r="H39" s="138" t="s">
        <v>42</v>
      </c>
      <c r="I39" s="138" t="s">
        <v>47</v>
      </c>
      <c r="J39" s="138" t="s">
        <v>36</v>
      </c>
      <c r="K39" s="138" t="s">
        <v>145</v>
      </c>
      <c r="L39" s="138"/>
      <c r="M39" s="138"/>
      <c r="N39" s="138"/>
      <c r="O39" s="3">
        <v>437.5</v>
      </c>
      <c r="P39" s="3">
        <v>72</v>
      </c>
      <c r="Q39" s="3">
        <v>3</v>
      </c>
      <c r="R39" s="3">
        <v>4</v>
      </c>
      <c r="S39" s="3" t="str">
        <f t="shared" si="6"/>
        <v>Øst Række Damer Pulje 1</v>
      </c>
      <c r="T39" s="3" t="str">
        <f t="shared" si="7"/>
        <v>Triominos 1</v>
      </c>
      <c r="U39" s="3" t="str">
        <f t="shared" si="8"/>
        <v>LBC 2012</v>
      </c>
      <c r="V39" s="206"/>
      <c r="W39">
        <v>422709</v>
      </c>
      <c r="X39" t="s">
        <v>191</v>
      </c>
      <c r="Y39" t="s">
        <v>188</v>
      </c>
      <c r="Z39" t="s">
        <v>125</v>
      </c>
      <c r="AA39" t="s">
        <v>64</v>
      </c>
      <c r="AB39" t="s">
        <v>178</v>
      </c>
      <c r="AC39" s="214">
        <v>45402</v>
      </c>
      <c r="AD39" s="190">
        <v>0.60416666666666663</v>
      </c>
    </row>
    <row r="40" spans="1:30" hidden="1" x14ac:dyDescent="0.25">
      <c r="A40" s="3">
        <f t="shared" si="0"/>
        <v>422744</v>
      </c>
      <c r="B40" s="3" t="str">
        <f t="shared" si="1"/>
        <v>Øst Række Herrer Pulje 1</v>
      </c>
      <c r="C40" s="204">
        <f t="shared" si="2"/>
        <v>45172</v>
      </c>
      <c r="D40" s="205">
        <f t="shared" si="3"/>
        <v>0.45833333333333331</v>
      </c>
      <c r="E40" s="3" t="str">
        <f t="shared" si="4"/>
        <v>Køge Bowling Center</v>
      </c>
      <c r="F40" s="3" t="str">
        <f t="shared" si="5"/>
        <v>Køge 75 1 - LBC 2012</v>
      </c>
      <c r="G40" s="206" t="s">
        <v>162</v>
      </c>
      <c r="H40" s="138" t="s">
        <v>219</v>
      </c>
      <c r="I40" s="138" t="s">
        <v>161</v>
      </c>
      <c r="J40" s="138" t="s">
        <v>177</v>
      </c>
      <c r="K40" s="138"/>
      <c r="L40" s="138"/>
      <c r="M40" s="138"/>
      <c r="N40" s="138"/>
      <c r="O40" s="3">
        <v>400</v>
      </c>
      <c r="P40" s="3">
        <v>72</v>
      </c>
      <c r="Q40" s="3">
        <v>3</v>
      </c>
      <c r="R40" s="3">
        <v>4</v>
      </c>
      <c r="S40" s="3" t="str">
        <f t="shared" si="6"/>
        <v>Øst Række Herrer Pulje 1</v>
      </c>
      <c r="T40" s="3" t="str">
        <f t="shared" si="7"/>
        <v>Køge 75 1</v>
      </c>
      <c r="U40" s="3" t="str">
        <f t="shared" si="8"/>
        <v>LBC 2012</v>
      </c>
      <c r="V40" s="206"/>
      <c r="W40">
        <v>422744</v>
      </c>
      <c r="X40" t="s">
        <v>193</v>
      </c>
      <c r="Y40" t="s">
        <v>188</v>
      </c>
      <c r="Z40" t="s">
        <v>171</v>
      </c>
      <c r="AA40" t="s">
        <v>64</v>
      </c>
      <c r="AB40" t="s">
        <v>146</v>
      </c>
      <c r="AC40" s="214">
        <v>45172</v>
      </c>
      <c r="AD40" s="190">
        <v>0.45833333333333331</v>
      </c>
    </row>
    <row r="41" spans="1:30" hidden="1" x14ac:dyDescent="0.25">
      <c r="A41" s="3">
        <f t="shared" si="0"/>
        <v>422746</v>
      </c>
      <c r="B41" s="3" t="str">
        <f t="shared" si="1"/>
        <v>Øst Række Herrer Pulje 1</v>
      </c>
      <c r="C41" s="204">
        <f t="shared" si="2"/>
        <v>45192</v>
      </c>
      <c r="D41" s="205">
        <f t="shared" si="3"/>
        <v>0.4375</v>
      </c>
      <c r="E41" s="3" t="str">
        <f t="shared" si="4"/>
        <v>Køge Bowling Center</v>
      </c>
      <c r="F41" s="3" t="str">
        <f t="shared" si="5"/>
        <v>LBC 2012 - Jackpot 1</v>
      </c>
      <c r="G41" s="206" t="s">
        <v>162</v>
      </c>
      <c r="H41" s="138" t="s">
        <v>43</v>
      </c>
      <c r="I41" s="138" t="s">
        <v>164</v>
      </c>
      <c r="J41" s="138" t="s">
        <v>161</v>
      </c>
      <c r="K41" s="138" t="s">
        <v>177</v>
      </c>
      <c r="L41" s="138" t="s">
        <v>219</v>
      </c>
      <c r="M41" s="138"/>
      <c r="N41" s="138"/>
      <c r="O41" s="3">
        <v>400</v>
      </c>
      <c r="P41" s="3">
        <v>72</v>
      </c>
      <c r="Q41" s="3">
        <v>3</v>
      </c>
      <c r="R41" s="3">
        <v>4</v>
      </c>
      <c r="S41" s="3" t="str">
        <f t="shared" si="6"/>
        <v>Øst Række Herrer Pulje 1</v>
      </c>
      <c r="T41" s="3" t="str">
        <f t="shared" si="7"/>
        <v>LBC 2012</v>
      </c>
      <c r="U41" s="3" t="str">
        <f t="shared" si="8"/>
        <v>Jackpot 1</v>
      </c>
      <c r="V41" s="206"/>
      <c r="W41">
        <v>422746</v>
      </c>
      <c r="X41" t="s">
        <v>193</v>
      </c>
      <c r="Y41" t="s">
        <v>188</v>
      </c>
      <c r="Z41" t="s">
        <v>64</v>
      </c>
      <c r="AA41" t="s">
        <v>158</v>
      </c>
      <c r="AB41" t="s">
        <v>146</v>
      </c>
      <c r="AC41" s="214">
        <v>45192</v>
      </c>
      <c r="AD41" s="190">
        <v>0.4375</v>
      </c>
    </row>
    <row r="42" spans="1:30" hidden="1" x14ac:dyDescent="0.25">
      <c r="A42" s="3">
        <f t="shared" si="0"/>
        <v>422750</v>
      </c>
      <c r="B42" s="3" t="str">
        <f t="shared" si="1"/>
        <v>Øst Række Herrer Pulje 1</v>
      </c>
      <c r="C42" s="204">
        <f t="shared" si="2"/>
        <v>45206</v>
      </c>
      <c r="D42" s="205">
        <f t="shared" si="3"/>
        <v>0.45833333333333331</v>
      </c>
      <c r="E42" s="3" t="str">
        <f t="shared" si="4"/>
        <v>Køge Bowling Center</v>
      </c>
      <c r="F42" s="3" t="str">
        <f t="shared" si="5"/>
        <v>LBC 2012 - Familie Bowl 1</v>
      </c>
      <c r="G42" s="206" t="s">
        <v>162</v>
      </c>
      <c r="H42" s="138" t="s">
        <v>43</v>
      </c>
      <c r="I42" s="138" t="s">
        <v>164</v>
      </c>
      <c r="J42" s="138" t="s">
        <v>161</v>
      </c>
      <c r="K42" s="138" t="s">
        <v>177</v>
      </c>
      <c r="L42" s="138" t="s">
        <v>219</v>
      </c>
      <c r="M42" s="138"/>
      <c r="N42" s="138"/>
      <c r="O42" s="3">
        <v>400</v>
      </c>
      <c r="P42" s="3">
        <v>72</v>
      </c>
      <c r="Q42" s="3">
        <v>3</v>
      </c>
      <c r="R42" s="3">
        <v>4</v>
      </c>
      <c r="S42" s="3" t="str">
        <f t="shared" si="6"/>
        <v>Øst Række Herrer Pulje 1</v>
      </c>
      <c r="T42" s="3" t="str">
        <f t="shared" si="7"/>
        <v>LBC 2012</v>
      </c>
      <c r="U42" s="3" t="str">
        <f t="shared" si="8"/>
        <v>Familie Bowl 1</v>
      </c>
      <c r="V42" s="206"/>
      <c r="W42">
        <v>422750</v>
      </c>
      <c r="X42" t="s">
        <v>193</v>
      </c>
      <c r="Y42" t="s">
        <v>188</v>
      </c>
      <c r="Z42" t="s">
        <v>64</v>
      </c>
      <c r="AA42" t="s">
        <v>172</v>
      </c>
      <c r="AB42" t="s">
        <v>146</v>
      </c>
      <c r="AC42" s="214">
        <v>45206</v>
      </c>
      <c r="AD42" s="190">
        <v>0.45833333333333331</v>
      </c>
    </row>
    <row r="43" spans="1:30" x14ac:dyDescent="0.25">
      <c r="A43" s="3">
        <f t="shared" si="0"/>
        <v>422756</v>
      </c>
      <c r="B43" s="3" t="str">
        <f t="shared" si="1"/>
        <v>Øst Række Herrer Pulje 1</v>
      </c>
      <c r="C43" s="204">
        <f t="shared" si="2"/>
        <v>45234</v>
      </c>
      <c r="D43" s="205">
        <f t="shared" si="3"/>
        <v>0.375</v>
      </c>
      <c r="E43" s="3" t="str">
        <f t="shared" si="4"/>
        <v>Køge Bowling Center</v>
      </c>
      <c r="F43" s="3" t="str">
        <f t="shared" si="5"/>
        <v>LBC 2012 - BK Center 1</v>
      </c>
      <c r="G43" s="206" t="s">
        <v>162</v>
      </c>
      <c r="H43" s="138" t="s">
        <v>43</v>
      </c>
      <c r="I43" s="138" t="s">
        <v>164</v>
      </c>
      <c r="J43" s="138" t="s">
        <v>161</v>
      </c>
      <c r="K43" s="138" t="s">
        <v>177</v>
      </c>
      <c r="L43" s="138" t="s">
        <v>39</v>
      </c>
      <c r="M43" s="138"/>
      <c r="N43" s="138"/>
      <c r="O43" s="3">
        <v>400</v>
      </c>
      <c r="P43" s="3">
        <v>72</v>
      </c>
      <c r="Q43" s="3">
        <v>3</v>
      </c>
      <c r="R43" s="3">
        <v>4</v>
      </c>
      <c r="S43" s="3" t="str">
        <f t="shared" si="6"/>
        <v>Øst Række Herrer Pulje 1</v>
      </c>
      <c r="T43" s="3" t="str">
        <f t="shared" si="7"/>
        <v>LBC 2012</v>
      </c>
      <c r="U43" s="3" t="str">
        <f t="shared" si="8"/>
        <v>BK Center 1</v>
      </c>
      <c r="V43" s="206"/>
      <c r="W43">
        <v>422756</v>
      </c>
      <c r="X43" t="s">
        <v>193</v>
      </c>
      <c r="Y43" t="s">
        <v>188</v>
      </c>
      <c r="Z43" t="s">
        <v>64</v>
      </c>
      <c r="AA43" t="s">
        <v>154</v>
      </c>
      <c r="AB43" t="s">
        <v>146</v>
      </c>
      <c r="AC43" s="214">
        <v>45234</v>
      </c>
      <c r="AD43" s="190">
        <v>0.375</v>
      </c>
    </row>
    <row r="44" spans="1:30" x14ac:dyDescent="0.25">
      <c r="A44" s="3">
        <f t="shared" si="0"/>
        <v>422754</v>
      </c>
      <c r="B44" s="3" t="str">
        <f t="shared" si="1"/>
        <v>Øst Række Herrer Pulje 1</v>
      </c>
      <c r="C44" s="204">
        <f t="shared" si="2"/>
        <v>45235</v>
      </c>
      <c r="D44" s="205">
        <f t="shared" si="3"/>
        <v>0.41666666666666669</v>
      </c>
      <c r="E44" s="3" t="str">
        <f t="shared" si="4"/>
        <v>Cecilie´s</v>
      </c>
      <c r="F44" s="3" t="str">
        <f t="shared" si="5"/>
        <v>BK Rolling Stones 1 - LBC 2012</v>
      </c>
      <c r="G44" s="206"/>
      <c r="H44" s="138" t="s">
        <v>43</v>
      </c>
      <c r="I44" s="138" t="s">
        <v>164</v>
      </c>
      <c r="J44" s="138" t="s">
        <v>161</v>
      </c>
      <c r="K44" s="138" t="s">
        <v>177</v>
      </c>
      <c r="L44" s="138" t="s">
        <v>39</v>
      </c>
      <c r="M44" s="138"/>
      <c r="N44" s="138"/>
      <c r="O44" s="3">
        <v>400</v>
      </c>
      <c r="P44" s="3">
        <v>72</v>
      </c>
      <c r="Q44" s="3">
        <v>3</v>
      </c>
      <c r="R44" s="3">
        <v>4</v>
      </c>
      <c r="S44" s="3" t="str">
        <f t="shared" si="6"/>
        <v>Øst Række Herrer Pulje 1</v>
      </c>
      <c r="T44" s="3" t="str">
        <f t="shared" si="7"/>
        <v>BK Rolling Stones 1</v>
      </c>
      <c r="U44" s="3" t="str">
        <f t="shared" si="8"/>
        <v>LBC 2012</v>
      </c>
      <c r="V44" s="206"/>
      <c r="W44">
        <v>422754</v>
      </c>
      <c r="X44" t="s">
        <v>193</v>
      </c>
      <c r="Y44" t="s">
        <v>188</v>
      </c>
      <c r="Z44" t="s">
        <v>170</v>
      </c>
      <c r="AA44" t="s">
        <v>64</v>
      </c>
      <c r="AB44" t="s">
        <v>149</v>
      </c>
      <c r="AC44" s="214">
        <v>45235</v>
      </c>
      <c r="AD44" s="190">
        <v>0.41666666666666669</v>
      </c>
    </row>
    <row r="45" spans="1:30" x14ac:dyDescent="0.25">
      <c r="A45" s="3">
        <f t="shared" si="0"/>
        <v>423220</v>
      </c>
      <c r="B45" s="3" t="str">
        <f t="shared" si="1"/>
        <v>Øst Række Herrer Pulje 1</v>
      </c>
      <c r="C45" s="204">
        <f t="shared" si="2"/>
        <v>45263</v>
      </c>
      <c r="D45" s="205">
        <f t="shared" si="3"/>
        <v>0.45833333333333331</v>
      </c>
      <c r="E45" s="3" t="str">
        <f t="shared" si="4"/>
        <v>Køge Bowling Center</v>
      </c>
      <c r="F45" s="3" t="str">
        <f t="shared" si="5"/>
        <v>LBC 2012 - Køge 75 1</v>
      </c>
      <c r="G45" s="206" t="s">
        <v>162</v>
      </c>
      <c r="H45" s="138" t="s">
        <v>43</v>
      </c>
      <c r="I45" s="138" t="s">
        <v>164</v>
      </c>
      <c r="J45" s="138" t="s">
        <v>161</v>
      </c>
      <c r="K45" s="138" t="s">
        <v>177</v>
      </c>
      <c r="L45" s="138"/>
      <c r="M45" s="138"/>
      <c r="N45" s="138"/>
      <c r="O45" s="3">
        <v>400</v>
      </c>
      <c r="P45" s="3">
        <v>72</v>
      </c>
      <c r="Q45" s="3">
        <v>3</v>
      </c>
      <c r="R45" s="3">
        <v>4</v>
      </c>
      <c r="S45" s="3" t="str">
        <f t="shared" si="6"/>
        <v>Øst Række Herrer Pulje 1</v>
      </c>
      <c r="T45" s="3" t="str">
        <f t="shared" si="7"/>
        <v>LBC 2012</v>
      </c>
      <c r="U45" s="3" t="str">
        <f t="shared" si="8"/>
        <v>Køge 75 1</v>
      </c>
      <c r="V45" s="206"/>
      <c r="W45">
        <v>423220</v>
      </c>
      <c r="X45" t="s">
        <v>193</v>
      </c>
      <c r="Y45" t="s">
        <v>188</v>
      </c>
      <c r="Z45" t="s">
        <v>64</v>
      </c>
      <c r="AA45" t="s">
        <v>171</v>
      </c>
      <c r="AB45" t="s">
        <v>146</v>
      </c>
      <c r="AC45" s="214">
        <v>45263</v>
      </c>
      <c r="AD45" s="190">
        <v>0.45833333333333331</v>
      </c>
    </row>
    <row r="46" spans="1:30" x14ac:dyDescent="0.25">
      <c r="A46" s="3">
        <f t="shared" si="0"/>
        <v>422762</v>
      </c>
      <c r="B46" s="3" t="str">
        <f t="shared" si="1"/>
        <v>Øst Række Herrer Pulje 1</v>
      </c>
      <c r="C46" s="204">
        <f t="shared" si="2"/>
        <v>45312</v>
      </c>
      <c r="D46" s="205">
        <f t="shared" si="3"/>
        <v>0.375</v>
      </c>
      <c r="E46" s="3" t="str">
        <f t="shared" si="4"/>
        <v>Bowlernes Hal, Grøndal</v>
      </c>
      <c r="F46" s="3" t="str">
        <f t="shared" si="5"/>
        <v>Jackpot 1 - LBC 2012</v>
      </c>
      <c r="G46" s="206"/>
      <c r="H46" s="138" t="s">
        <v>43</v>
      </c>
      <c r="I46" s="138" t="s">
        <v>164</v>
      </c>
      <c r="J46" s="138" t="s">
        <v>161</v>
      </c>
      <c r="K46" s="138" t="s">
        <v>177</v>
      </c>
      <c r="L46" s="138" t="s">
        <v>39</v>
      </c>
      <c r="M46" s="138"/>
      <c r="N46" s="138"/>
      <c r="O46" s="3">
        <v>400</v>
      </c>
      <c r="P46" s="3">
        <v>72</v>
      </c>
      <c r="Q46" s="3">
        <v>3</v>
      </c>
      <c r="R46" s="3">
        <v>4</v>
      </c>
      <c r="S46" s="3" t="str">
        <f t="shared" si="6"/>
        <v>Øst Række Herrer Pulje 1</v>
      </c>
      <c r="T46" s="3" t="str">
        <f t="shared" si="7"/>
        <v>Jackpot 1</v>
      </c>
      <c r="U46" s="3" t="str">
        <f t="shared" si="8"/>
        <v>LBC 2012</v>
      </c>
      <c r="V46" s="206"/>
      <c r="W46">
        <v>422762</v>
      </c>
      <c r="X46" t="s">
        <v>193</v>
      </c>
      <c r="Y46" t="s">
        <v>188</v>
      </c>
      <c r="Z46" t="s">
        <v>158</v>
      </c>
      <c r="AA46" t="s">
        <v>64</v>
      </c>
      <c r="AB46" t="s">
        <v>151</v>
      </c>
      <c r="AC46" s="214">
        <v>45312</v>
      </c>
      <c r="AD46" s="190">
        <v>0.375</v>
      </c>
    </row>
    <row r="47" spans="1:30" x14ac:dyDescent="0.25">
      <c r="A47" s="3">
        <f t="shared" si="0"/>
        <v>423223</v>
      </c>
      <c r="B47" s="3" t="str">
        <f t="shared" si="1"/>
        <v>Øst Række Herrer Pulje 1</v>
      </c>
      <c r="C47" s="204">
        <f t="shared" si="2"/>
        <v>45325</v>
      </c>
      <c r="D47" s="205">
        <f t="shared" si="3"/>
        <v>0.45833333333333331</v>
      </c>
      <c r="E47" s="3" t="str">
        <f t="shared" si="4"/>
        <v>Køge Bowling Center</v>
      </c>
      <c r="F47" s="3" t="str">
        <f t="shared" si="5"/>
        <v>LBC 2012 - BK Rolling Stones 1</v>
      </c>
      <c r="G47" s="206" t="s">
        <v>162</v>
      </c>
      <c r="H47" s="138" t="s">
        <v>43</v>
      </c>
      <c r="I47" s="138" t="s">
        <v>164</v>
      </c>
      <c r="J47" s="138" t="s">
        <v>161</v>
      </c>
      <c r="K47" s="138" t="s">
        <v>177</v>
      </c>
      <c r="L47" s="138" t="s">
        <v>39</v>
      </c>
      <c r="M47" s="138"/>
      <c r="N47" s="138"/>
      <c r="O47" s="3">
        <v>400</v>
      </c>
      <c r="P47" s="3">
        <v>72</v>
      </c>
      <c r="Q47" s="3">
        <v>3</v>
      </c>
      <c r="R47" s="3">
        <v>4</v>
      </c>
      <c r="S47" s="3" t="str">
        <f t="shared" si="6"/>
        <v>Øst Række Herrer Pulje 1</v>
      </c>
      <c r="T47" s="3" t="str">
        <f t="shared" si="7"/>
        <v>LBC 2012</v>
      </c>
      <c r="U47" s="3" t="str">
        <f t="shared" si="8"/>
        <v>BK Rolling Stones 1</v>
      </c>
      <c r="V47" s="206"/>
      <c r="W47">
        <v>423223</v>
      </c>
      <c r="X47" t="s">
        <v>193</v>
      </c>
      <c r="Y47" t="s">
        <v>188</v>
      </c>
      <c r="Z47" t="s">
        <v>64</v>
      </c>
      <c r="AA47" t="s">
        <v>170</v>
      </c>
      <c r="AB47" t="s">
        <v>146</v>
      </c>
      <c r="AC47" s="214">
        <v>45325</v>
      </c>
      <c r="AD47" s="190">
        <v>0.45833333333333331</v>
      </c>
    </row>
    <row r="48" spans="1:30" x14ac:dyDescent="0.25">
      <c r="A48" s="3">
        <f t="shared" si="0"/>
        <v>423225</v>
      </c>
      <c r="B48" s="3" t="str">
        <f t="shared" si="1"/>
        <v>Øst Række Herrer Pulje 1</v>
      </c>
      <c r="C48" s="204">
        <f t="shared" si="2"/>
        <v>45347</v>
      </c>
      <c r="D48" s="205">
        <f t="shared" si="3"/>
        <v>0.5</v>
      </c>
      <c r="E48" s="3" t="str">
        <f t="shared" si="4"/>
        <v>Rødovre Bowlinghal</v>
      </c>
      <c r="F48" s="3" t="str">
        <f t="shared" si="5"/>
        <v>BK Center 1 - LBC 2012</v>
      </c>
      <c r="G48" s="206"/>
      <c r="H48" s="138" t="s">
        <v>43</v>
      </c>
      <c r="I48" s="138" t="s">
        <v>164</v>
      </c>
      <c r="J48" s="138" t="s">
        <v>161</v>
      </c>
      <c r="K48" s="138" t="s">
        <v>177</v>
      </c>
      <c r="L48" s="138" t="s">
        <v>39</v>
      </c>
      <c r="M48" s="138"/>
      <c r="N48" s="138"/>
      <c r="O48" s="3">
        <v>437.5</v>
      </c>
      <c r="P48" s="3">
        <v>72</v>
      </c>
      <c r="Q48" s="3">
        <v>3</v>
      </c>
      <c r="R48" s="3">
        <v>4</v>
      </c>
      <c r="S48" s="3" t="str">
        <f t="shared" si="6"/>
        <v>Øst Række Herrer Pulje 1</v>
      </c>
      <c r="T48" s="3" t="str">
        <f t="shared" si="7"/>
        <v>BK Center 1</v>
      </c>
      <c r="U48" s="3" t="str">
        <f t="shared" si="8"/>
        <v>LBC 2012</v>
      </c>
      <c r="V48" s="206"/>
      <c r="W48">
        <v>423225</v>
      </c>
      <c r="X48" t="s">
        <v>193</v>
      </c>
      <c r="Y48" t="s">
        <v>188</v>
      </c>
      <c r="Z48" t="s">
        <v>154</v>
      </c>
      <c r="AA48" t="s">
        <v>64</v>
      </c>
      <c r="AB48" t="s">
        <v>178</v>
      </c>
      <c r="AC48" s="214">
        <v>45347</v>
      </c>
      <c r="AD48" s="190">
        <v>0.5</v>
      </c>
    </row>
    <row r="49" spans="1:30" x14ac:dyDescent="0.25">
      <c r="A49" s="3">
        <f t="shared" si="0"/>
        <v>423230</v>
      </c>
      <c r="B49" s="3" t="str">
        <f t="shared" si="1"/>
        <v>Øst Række Herrer Pulje 1</v>
      </c>
      <c r="C49" s="204">
        <f t="shared" si="2"/>
        <v>45361</v>
      </c>
      <c r="D49" s="205">
        <f t="shared" si="3"/>
        <v>0.39583333333333331</v>
      </c>
      <c r="E49" s="3" t="str">
        <f t="shared" si="4"/>
        <v>Gladsaxe Bowling</v>
      </c>
      <c r="F49" s="3" t="str">
        <f t="shared" si="5"/>
        <v>Familie Bowl 1 - LBC 2012</v>
      </c>
      <c r="G49" s="206"/>
      <c r="H49" s="138" t="s">
        <v>43</v>
      </c>
      <c r="I49" s="138" t="s">
        <v>164</v>
      </c>
      <c r="J49" s="138" t="s">
        <v>161</v>
      </c>
      <c r="K49" s="138" t="s">
        <v>177</v>
      </c>
      <c r="L49" s="138" t="s">
        <v>39</v>
      </c>
      <c r="M49" s="138"/>
      <c r="N49" s="138"/>
      <c r="O49" s="3">
        <v>350</v>
      </c>
      <c r="P49" s="3">
        <v>72</v>
      </c>
      <c r="Q49" s="3">
        <v>3</v>
      </c>
      <c r="R49" s="3">
        <v>4</v>
      </c>
      <c r="S49" s="3" t="str">
        <f t="shared" si="6"/>
        <v>Øst Række Herrer Pulje 1</v>
      </c>
      <c r="T49" s="3" t="str">
        <f t="shared" si="7"/>
        <v>Familie Bowl 1</v>
      </c>
      <c r="U49" s="3" t="str">
        <f t="shared" si="8"/>
        <v>LBC 2012</v>
      </c>
      <c r="V49" s="206"/>
      <c r="W49">
        <v>423230</v>
      </c>
      <c r="X49" t="s">
        <v>193</v>
      </c>
      <c r="Y49" t="s">
        <v>188</v>
      </c>
      <c r="Z49" t="s">
        <v>172</v>
      </c>
      <c r="AA49" t="s">
        <v>64</v>
      </c>
      <c r="AB49" t="s">
        <v>166</v>
      </c>
      <c r="AC49" s="214">
        <v>45361</v>
      </c>
      <c r="AD49" s="190">
        <v>0.39583333333333331</v>
      </c>
    </row>
    <row r="50" spans="1:30" x14ac:dyDescent="0.25">
      <c r="A50" s="3">
        <f t="shared" si="0"/>
        <v>422774</v>
      </c>
      <c r="B50" s="3" t="str">
        <f t="shared" si="1"/>
        <v>Øst Række Herrer Pulje 1</v>
      </c>
      <c r="C50" s="204">
        <f t="shared" si="2"/>
        <v>45374</v>
      </c>
      <c r="D50" s="205">
        <f t="shared" si="3"/>
        <v>0.375</v>
      </c>
      <c r="E50" s="3" t="str">
        <f t="shared" si="4"/>
        <v>Køge Bowling Center</v>
      </c>
      <c r="F50" s="3" t="str">
        <f t="shared" si="5"/>
        <v>Køge 75 1 - LBC 2012</v>
      </c>
      <c r="G50" s="206" t="s">
        <v>162</v>
      </c>
      <c r="H50" s="138" t="s">
        <v>43</v>
      </c>
      <c r="I50" s="138" t="s">
        <v>164</v>
      </c>
      <c r="J50" s="138" t="s">
        <v>161</v>
      </c>
      <c r="K50" s="138" t="s">
        <v>177</v>
      </c>
      <c r="L50" s="138" t="s">
        <v>39</v>
      </c>
      <c r="M50" s="138"/>
      <c r="N50" s="138"/>
      <c r="O50" s="3">
        <v>400</v>
      </c>
      <c r="P50" s="3">
        <v>72</v>
      </c>
      <c r="Q50" s="3">
        <v>3</v>
      </c>
      <c r="R50" s="3">
        <v>4</v>
      </c>
      <c r="S50" s="3" t="str">
        <f t="shared" si="6"/>
        <v>Øst Række Herrer Pulje 1</v>
      </c>
      <c r="T50" s="3" t="str">
        <f t="shared" si="7"/>
        <v>Køge 75 1</v>
      </c>
      <c r="U50" s="3" t="str">
        <f t="shared" si="8"/>
        <v>LBC 2012</v>
      </c>
      <c r="V50" s="206"/>
      <c r="W50">
        <v>422774</v>
      </c>
      <c r="X50" t="s">
        <v>193</v>
      </c>
      <c r="Y50" t="s">
        <v>188</v>
      </c>
      <c r="Z50" t="s">
        <v>171</v>
      </c>
      <c r="AA50" t="s">
        <v>64</v>
      </c>
      <c r="AB50" t="s">
        <v>146</v>
      </c>
      <c r="AC50" s="214">
        <v>45374</v>
      </c>
      <c r="AD50" s="190">
        <v>0.375</v>
      </c>
    </row>
    <row r="51" spans="1:30" x14ac:dyDescent="0.25">
      <c r="A51" s="3">
        <f t="shared" si="0"/>
        <v>422776</v>
      </c>
      <c r="B51" s="3" t="str">
        <f t="shared" si="1"/>
        <v>Øst Række Herrer Pulje 1</v>
      </c>
      <c r="C51" s="204">
        <f t="shared" si="2"/>
        <v>45375</v>
      </c>
      <c r="D51" s="205">
        <f t="shared" si="3"/>
        <v>0.45833333333333331</v>
      </c>
      <c r="E51" s="3" t="str">
        <f t="shared" si="4"/>
        <v>Køge Bowling Center</v>
      </c>
      <c r="F51" s="3" t="str">
        <f t="shared" si="5"/>
        <v>LBC 2012 - Jackpot 1</v>
      </c>
      <c r="G51" s="206" t="s">
        <v>162</v>
      </c>
      <c r="H51" s="138" t="s">
        <v>43</v>
      </c>
      <c r="I51" s="138" t="s">
        <v>164</v>
      </c>
      <c r="J51" s="138" t="s">
        <v>161</v>
      </c>
      <c r="K51" s="138" t="s">
        <v>177</v>
      </c>
      <c r="L51" s="138" t="s">
        <v>39</v>
      </c>
      <c r="M51" s="138"/>
      <c r="N51" s="138"/>
      <c r="O51" s="3">
        <v>400</v>
      </c>
      <c r="P51" s="3">
        <v>72</v>
      </c>
      <c r="Q51" s="3">
        <v>3</v>
      </c>
      <c r="R51" s="3">
        <v>4</v>
      </c>
      <c r="S51" s="3" t="str">
        <f t="shared" si="6"/>
        <v>Øst Række Herrer Pulje 1</v>
      </c>
      <c r="T51" s="3" t="str">
        <f t="shared" si="7"/>
        <v>LBC 2012</v>
      </c>
      <c r="U51" s="3" t="str">
        <f t="shared" si="8"/>
        <v>Jackpot 1</v>
      </c>
      <c r="V51" s="206"/>
      <c r="W51">
        <v>422776</v>
      </c>
      <c r="X51" t="s">
        <v>193</v>
      </c>
      <c r="Y51" t="s">
        <v>188</v>
      </c>
      <c r="Z51" t="s">
        <v>64</v>
      </c>
      <c r="AA51" t="s">
        <v>158</v>
      </c>
      <c r="AB51" t="s">
        <v>146</v>
      </c>
      <c r="AC51" s="214">
        <v>45375</v>
      </c>
      <c r="AD51" s="190">
        <v>0.45833333333333331</v>
      </c>
    </row>
    <row r="52" spans="1:30" x14ac:dyDescent="0.25">
      <c r="A52" s="3">
        <f t="shared" si="0"/>
        <v>422780</v>
      </c>
      <c r="B52" s="3" t="str">
        <f t="shared" si="1"/>
        <v>Øst Række Herrer Pulje 1</v>
      </c>
      <c r="C52" s="204">
        <f t="shared" si="2"/>
        <v>45395</v>
      </c>
      <c r="D52" s="205">
        <f t="shared" si="3"/>
        <v>0.375</v>
      </c>
      <c r="E52" s="3" t="str">
        <f t="shared" si="4"/>
        <v>Køge Bowling Center</v>
      </c>
      <c r="F52" s="3" t="str">
        <f t="shared" si="5"/>
        <v>LBC 2012 - Familie Bowl 1</v>
      </c>
      <c r="G52" s="206" t="s">
        <v>162</v>
      </c>
      <c r="H52" s="138" t="s">
        <v>43</v>
      </c>
      <c r="I52" s="138" t="s">
        <v>164</v>
      </c>
      <c r="J52" s="138" t="s">
        <v>161</v>
      </c>
      <c r="K52" s="138" t="s">
        <v>177</v>
      </c>
      <c r="L52" s="138" t="s">
        <v>39</v>
      </c>
      <c r="M52" s="138"/>
      <c r="N52" s="138"/>
      <c r="O52" s="3">
        <v>400</v>
      </c>
      <c r="P52" s="3">
        <v>72</v>
      </c>
      <c r="Q52" s="3">
        <v>3</v>
      </c>
      <c r="R52" s="3">
        <v>4</v>
      </c>
      <c r="S52" s="3" t="str">
        <f t="shared" si="6"/>
        <v>Øst Række Herrer Pulje 1</v>
      </c>
      <c r="T52" s="3" t="str">
        <f t="shared" si="7"/>
        <v>LBC 2012</v>
      </c>
      <c r="U52" s="3" t="str">
        <f t="shared" si="8"/>
        <v>Familie Bowl 1</v>
      </c>
      <c r="V52" s="206"/>
      <c r="W52">
        <v>422780</v>
      </c>
      <c r="X52" t="s">
        <v>193</v>
      </c>
      <c r="Y52" t="s">
        <v>188</v>
      </c>
      <c r="Z52" t="s">
        <v>64</v>
      </c>
      <c r="AA52" t="s">
        <v>172</v>
      </c>
      <c r="AB52" t="s">
        <v>146</v>
      </c>
      <c r="AC52" s="214">
        <v>45395</v>
      </c>
      <c r="AD52" s="190">
        <v>0.375</v>
      </c>
    </row>
    <row r="53" spans="1:30" x14ac:dyDescent="0.25">
      <c r="A53" s="3">
        <f t="shared" si="0"/>
        <v>422784</v>
      </c>
      <c r="B53" s="3" t="str">
        <f t="shared" si="1"/>
        <v>Øst Række Herrer Pulje 1</v>
      </c>
      <c r="C53" s="204">
        <f t="shared" si="2"/>
        <v>45403</v>
      </c>
      <c r="D53" s="205">
        <f t="shared" si="3"/>
        <v>0.375</v>
      </c>
      <c r="E53" s="3" t="str">
        <f t="shared" si="4"/>
        <v>Cecilie´s</v>
      </c>
      <c r="F53" s="3" t="str">
        <f t="shared" si="5"/>
        <v>BK Rolling Stones 1 - LBC 2012</v>
      </c>
      <c r="G53" s="206"/>
      <c r="H53" s="138" t="s">
        <v>43</v>
      </c>
      <c r="I53" s="138" t="s">
        <v>164</v>
      </c>
      <c r="J53" s="138" t="s">
        <v>161</v>
      </c>
      <c r="K53" s="138" t="s">
        <v>177</v>
      </c>
      <c r="L53" s="138" t="s">
        <v>39</v>
      </c>
      <c r="M53" s="138"/>
      <c r="N53" s="138"/>
      <c r="O53" s="3">
        <v>400</v>
      </c>
      <c r="P53" s="3">
        <v>72</v>
      </c>
      <c r="Q53" s="3">
        <v>3</v>
      </c>
      <c r="R53" s="3">
        <v>4</v>
      </c>
      <c r="S53" s="3" t="str">
        <f t="shared" si="6"/>
        <v>Øst Række Herrer Pulje 1</v>
      </c>
      <c r="T53" s="3" t="str">
        <f t="shared" si="7"/>
        <v>BK Rolling Stones 1</v>
      </c>
      <c r="U53" s="3" t="str">
        <f t="shared" si="8"/>
        <v>LBC 2012</v>
      </c>
      <c r="V53" s="206"/>
      <c r="W53">
        <v>422784</v>
      </c>
      <c r="X53" t="s">
        <v>193</v>
      </c>
      <c r="Y53" t="s">
        <v>188</v>
      </c>
      <c r="Z53" t="s">
        <v>170</v>
      </c>
      <c r="AA53" t="s">
        <v>64</v>
      </c>
      <c r="AB53" t="s">
        <v>149</v>
      </c>
      <c r="AC53" s="214">
        <v>45403</v>
      </c>
      <c r="AD53" s="190">
        <v>0.375</v>
      </c>
    </row>
    <row r="54" spans="1:30" x14ac:dyDescent="0.25">
      <c r="A54" s="3">
        <f t="shared" si="0"/>
        <v>422786</v>
      </c>
      <c r="B54" s="3" t="str">
        <f t="shared" si="1"/>
        <v>Øst Række Herrer Pulje 1</v>
      </c>
      <c r="C54" s="204">
        <f t="shared" si="2"/>
        <v>45437</v>
      </c>
      <c r="D54" s="205">
        <f t="shared" si="3"/>
        <v>0.45833333333333331</v>
      </c>
      <c r="E54" s="3" t="str">
        <f t="shared" si="4"/>
        <v>Køge Bowling Center</v>
      </c>
      <c r="F54" s="3" t="str">
        <f t="shared" si="5"/>
        <v>LBC 2012 - BK Center 1</v>
      </c>
      <c r="G54" s="206" t="s">
        <v>162</v>
      </c>
      <c r="H54" s="138" t="s">
        <v>43</v>
      </c>
      <c r="I54" s="138" t="s">
        <v>164</v>
      </c>
      <c r="J54" s="138" t="s">
        <v>161</v>
      </c>
      <c r="K54" s="138" t="s">
        <v>177</v>
      </c>
      <c r="L54" s="138" t="s">
        <v>39</v>
      </c>
      <c r="M54" s="138"/>
      <c r="N54" s="138"/>
      <c r="O54" s="3">
        <v>400</v>
      </c>
      <c r="P54" s="3">
        <v>72</v>
      </c>
      <c r="Q54" s="3">
        <v>3</v>
      </c>
      <c r="R54" s="3">
        <v>4</v>
      </c>
      <c r="S54" s="3" t="str">
        <f t="shared" si="6"/>
        <v>Øst Række Herrer Pulje 1</v>
      </c>
      <c r="T54" s="3" t="str">
        <f t="shared" si="7"/>
        <v>LBC 2012</v>
      </c>
      <c r="U54" s="3" t="str">
        <f t="shared" si="8"/>
        <v>BK Center 1</v>
      </c>
      <c r="V54" s="206"/>
      <c r="W54">
        <v>422786</v>
      </c>
      <c r="X54" t="s">
        <v>193</v>
      </c>
      <c r="Y54" t="s">
        <v>188</v>
      </c>
      <c r="Z54" t="s">
        <v>64</v>
      </c>
      <c r="AA54" t="s">
        <v>154</v>
      </c>
      <c r="AB54" t="s">
        <v>146</v>
      </c>
      <c r="AC54" s="214">
        <v>45437</v>
      </c>
      <c r="AD54" s="190">
        <v>0.45833333333333331</v>
      </c>
    </row>
    <row r="55" spans="1:30" hidden="1" x14ac:dyDescent="0.25">
      <c r="A55" s="3">
        <f t="shared" si="0"/>
        <v>423234</v>
      </c>
      <c r="B55" s="3" t="str">
        <f t="shared" si="1"/>
        <v>Øst Række Mix Mix 1</v>
      </c>
      <c r="C55" s="204">
        <f t="shared" si="2"/>
        <v>45207</v>
      </c>
      <c r="D55" s="205">
        <f t="shared" si="3"/>
        <v>0.4375</v>
      </c>
      <c r="E55" s="3" t="str">
        <f t="shared" si="4"/>
        <v>Rødovre Bowlinghal</v>
      </c>
      <c r="F55" s="3" t="str">
        <f t="shared" si="5"/>
        <v>LBC 2012 - S.A.S. 3</v>
      </c>
      <c r="G55" s="206"/>
      <c r="H55" s="138" t="s">
        <v>220</v>
      </c>
      <c r="I55" s="138" t="s">
        <v>218</v>
      </c>
      <c r="J55" s="138" t="s">
        <v>36</v>
      </c>
      <c r="K55" s="138" t="s">
        <v>219</v>
      </c>
      <c r="L55" s="138"/>
      <c r="M55" s="138"/>
      <c r="N55" s="138"/>
      <c r="O55" s="3">
        <v>437.5</v>
      </c>
      <c r="P55" s="3">
        <v>72</v>
      </c>
      <c r="Q55" s="3">
        <v>3</v>
      </c>
      <c r="R55" s="3">
        <v>4</v>
      </c>
      <c r="S55" s="3" t="str">
        <f t="shared" si="6"/>
        <v>Øst Række Mix Mix 1</v>
      </c>
      <c r="T55" s="3" t="str">
        <f t="shared" si="7"/>
        <v>LBC 2012</v>
      </c>
      <c r="U55" s="3" t="str">
        <f t="shared" si="8"/>
        <v>S.A.S. 3</v>
      </c>
      <c r="V55" s="206"/>
      <c r="W55">
        <v>423234</v>
      </c>
      <c r="X55" t="s">
        <v>194</v>
      </c>
      <c r="Y55" t="s">
        <v>195</v>
      </c>
      <c r="Z55" t="s">
        <v>64</v>
      </c>
      <c r="AA55" t="s">
        <v>196</v>
      </c>
      <c r="AB55" t="s">
        <v>178</v>
      </c>
      <c r="AC55" s="214">
        <v>45207</v>
      </c>
      <c r="AD55" s="190">
        <v>0.4375</v>
      </c>
    </row>
    <row r="56" spans="1:30" hidden="1" x14ac:dyDescent="0.25">
      <c r="A56" s="3">
        <f t="shared" si="0"/>
        <v>423237</v>
      </c>
      <c r="B56" s="3" t="str">
        <f t="shared" si="1"/>
        <v>Øst Række Mix Mix 1</v>
      </c>
      <c r="C56" s="204">
        <f t="shared" si="2"/>
        <v>45228</v>
      </c>
      <c r="D56" s="205">
        <f t="shared" si="3"/>
        <v>0.4375</v>
      </c>
      <c r="E56" s="3" t="str">
        <f t="shared" si="4"/>
        <v>Rødovre Bowlinghal</v>
      </c>
      <c r="F56" s="3" t="str">
        <f t="shared" si="5"/>
        <v>S.A.S. 2 - LBC 2012</v>
      </c>
      <c r="G56" s="206"/>
      <c r="H56" s="138" t="s">
        <v>220</v>
      </c>
      <c r="I56" s="138" t="s">
        <v>218</v>
      </c>
      <c r="J56" s="138" t="s">
        <v>36</v>
      </c>
      <c r="K56" s="138" t="s">
        <v>219</v>
      </c>
      <c r="L56" s="138"/>
      <c r="M56" s="138"/>
      <c r="N56" s="138"/>
      <c r="O56" s="3">
        <v>437.5</v>
      </c>
      <c r="P56" s="3">
        <v>72</v>
      </c>
      <c r="Q56" s="3">
        <v>3</v>
      </c>
      <c r="R56" s="3">
        <v>4</v>
      </c>
      <c r="S56" s="3" t="str">
        <f t="shared" si="6"/>
        <v>Øst Række Mix Mix 1</v>
      </c>
      <c r="T56" s="3" t="str">
        <f t="shared" si="7"/>
        <v>S.A.S. 2</v>
      </c>
      <c r="U56" s="3" t="str">
        <f t="shared" si="8"/>
        <v>LBC 2012</v>
      </c>
      <c r="V56" s="206"/>
      <c r="W56">
        <v>423237</v>
      </c>
      <c r="X56" t="s">
        <v>194</v>
      </c>
      <c r="Y56" t="s">
        <v>195</v>
      </c>
      <c r="Z56" t="s">
        <v>124</v>
      </c>
      <c r="AA56" t="s">
        <v>64</v>
      </c>
      <c r="AB56" t="s">
        <v>178</v>
      </c>
      <c r="AC56" s="214">
        <v>45228</v>
      </c>
      <c r="AD56" s="190">
        <v>0.4375</v>
      </c>
    </row>
    <row r="57" spans="1:30" x14ac:dyDescent="0.25">
      <c r="A57" s="3">
        <f t="shared" si="0"/>
        <v>423242</v>
      </c>
      <c r="B57" s="3" t="str">
        <f t="shared" si="1"/>
        <v>Øst Række Mix Mix 1</v>
      </c>
      <c r="C57" s="204">
        <f t="shared" si="2"/>
        <v>45248</v>
      </c>
      <c r="D57" s="205">
        <f t="shared" si="3"/>
        <v>0.375</v>
      </c>
      <c r="E57" s="3" t="str">
        <f t="shared" si="4"/>
        <v>BBC Tårnby</v>
      </c>
      <c r="F57" s="3" t="str">
        <f t="shared" si="5"/>
        <v>LBC 2012 - S.A.S. 1</v>
      </c>
      <c r="G57" s="206"/>
      <c r="H57" s="138" t="s">
        <v>220</v>
      </c>
      <c r="I57" s="138" t="s">
        <v>218</v>
      </c>
      <c r="J57" s="138" t="s">
        <v>36</v>
      </c>
      <c r="K57" s="138" t="s">
        <v>219</v>
      </c>
      <c r="L57" s="138"/>
      <c r="M57" s="138"/>
      <c r="N57" s="138"/>
      <c r="O57" s="3">
        <v>455</v>
      </c>
      <c r="P57" s="3">
        <v>72</v>
      </c>
      <c r="Q57" s="3">
        <v>3</v>
      </c>
      <c r="R57" s="3">
        <v>4</v>
      </c>
      <c r="S57" s="3" t="str">
        <f t="shared" si="6"/>
        <v>Øst Række Mix Mix 1</v>
      </c>
      <c r="T57" s="3" t="str">
        <f t="shared" si="7"/>
        <v>LBC 2012</v>
      </c>
      <c r="U57" s="3" t="str">
        <f t="shared" si="8"/>
        <v>S.A.S. 1</v>
      </c>
      <c r="V57" s="206"/>
      <c r="W57">
        <v>423242</v>
      </c>
      <c r="X57" t="s">
        <v>194</v>
      </c>
      <c r="Y57" t="s">
        <v>195</v>
      </c>
      <c r="Z57" t="s">
        <v>64</v>
      </c>
      <c r="AA57" t="s">
        <v>126</v>
      </c>
      <c r="AB57" t="s">
        <v>147</v>
      </c>
      <c r="AC57" s="214">
        <v>45248</v>
      </c>
      <c r="AD57" s="190">
        <v>0.375</v>
      </c>
    </row>
    <row r="58" spans="1:30" x14ac:dyDescent="0.25">
      <c r="A58" s="3">
        <f t="shared" si="0"/>
        <v>423243</v>
      </c>
      <c r="B58" s="3" t="str">
        <f t="shared" si="1"/>
        <v>Øst Række Mix Mix 1</v>
      </c>
      <c r="C58" s="204">
        <f t="shared" si="2"/>
        <v>45304</v>
      </c>
      <c r="D58" s="205">
        <f t="shared" si="3"/>
        <v>0.375</v>
      </c>
      <c r="E58" s="3" t="str">
        <f t="shared" si="4"/>
        <v>Køge Bowling Center</v>
      </c>
      <c r="F58" s="3" t="str">
        <f t="shared" si="5"/>
        <v>BK Center 1 - LBC 2012</v>
      </c>
      <c r="G58" s="206"/>
      <c r="H58" s="138" t="s">
        <v>220</v>
      </c>
      <c r="I58" s="138" t="s">
        <v>218</v>
      </c>
      <c r="J58" s="138" t="s">
        <v>36</v>
      </c>
      <c r="K58" s="138" t="s">
        <v>219</v>
      </c>
      <c r="L58" s="138"/>
      <c r="M58" s="138"/>
      <c r="N58" s="138"/>
      <c r="O58" s="3">
        <v>400</v>
      </c>
      <c r="P58" s="3">
        <v>72</v>
      </c>
      <c r="Q58" s="3">
        <v>3</v>
      </c>
      <c r="R58" s="3">
        <v>4</v>
      </c>
      <c r="S58" s="3" t="str">
        <f t="shared" si="6"/>
        <v>Øst Række Mix Mix 1</v>
      </c>
      <c r="T58" s="3" t="str">
        <f t="shared" si="7"/>
        <v>BK Center 1</v>
      </c>
      <c r="U58" s="3" t="str">
        <f t="shared" si="8"/>
        <v>LBC 2012</v>
      </c>
      <c r="V58" s="206"/>
      <c r="W58">
        <v>423243</v>
      </c>
      <c r="X58" t="s">
        <v>194</v>
      </c>
      <c r="Y58" t="s">
        <v>195</v>
      </c>
      <c r="Z58" t="s">
        <v>154</v>
      </c>
      <c r="AA58" t="s">
        <v>64</v>
      </c>
      <c r="AB58" t="s">
        <v>146</v>
      </c>
      <c r="AC58" s="214">
        <v>45304</v>
      </c>
      <c r="AD58" s="190">
        <v>0.375</v>
      </c>
    </row>
    <row r="59" spans="1:30" x14ac:dyDescent="0.25">
      <c r="A59" s="3">
        <f t="shared" si="0"/>
        <v>423249</v>
      </c>
      <c r="B59" s="3" t="str">
        <f t="shared" si="1"/>
        <v>Øst Række Mix Mix 1</v>
      </c>
      <c r="C59" s="204">
        <f t="shared" si="2"/>
        <v>45354</v>
      </c>
      <c r="D59" s="205">
        <f t="shared" si="3"/>
        <v>0.375</v>
      </c>
      <c r="E59" s="3" t="str">
        <f t="shared" si="4"/>
        <v>BBC Tårnby</v>
      </c>
      <c r="F59" s="3" t="str">
        <f t="shared" si="5"/>
        <v>LBC 2012 - BK Center 2</v>
      </c>
      <c r="G59" s="206"/>
      <c r="H59" s="138" t="s">
        <v>220</v>
      </c>
      <c r="I59" s="138" t="s">
        <v>218</v>
      </c>
      <c r="J59" s="138" t="s">
        <v>36</v>
      </c>
      <c r="K59" s="138" t="s">
        <v>219</v>
      </c>
      <c r="L59" s="138"/>
      <c r="M59" s="138"/>
      <c r="N59" s="138"/>
      <c r="O59" s="3">
        <v>455</v>
      </c>
      <c r="P59" s="3">
        <v>72</v>
      </c>
      <c r="Q59" s="3">
        <v>3</v>
      </c>
      <c r="R59" s="3">
        <v>4</v>
      </c>
      <c r="S59" s="3" t="str">
        <f t="shared" si="6"/>
        <v>Øst Række Mix Mix 1</v>
      </c>
      <c r="T59" s="3" t="str">
        <f t="shared" si="7"/>
        <v>LBC 2012</v>
      </c>
      <c r="U59" s="3" t="str">
        <f t="shared" si="8"/>
        <v>BK Center 2</v>
      </c>
      <c r="V59" s="206"/>
      <c r="W59">
        <v>423249</v>
      </c>
      <c r="X59" t="s">
        <v>194</v>
      </c>
      <c r="Y59" t="s">
        <v>195</v>
      </c>
      <c r="Z59" t="s">
        <v>64</v>
      </c>
      <c r="AA59" t="s">
        <v>157</v>
      </c>
      <c r="AB59" t="s">
        <v>147</v>
      </c>
      <c r="AC59" s="214">
        <v>45354</v>
      </c>
      <c r="AD59" s="190">
        <v>0.375</v>
      </c>
    </row>
    <row r="60" spans="1:30" x14ac:dyDescent="0.25">
      <c r="A60" s="3">
        <f t="shared" si="0"/>
        <v>423254</v>
      </c>
      <c r="B60" s="3" t="str">
        <f t="shared" si="1"/>
        <v>Øst Række Mix Mix 1</v>
      </c>
      <c r="C60" s="204">
        <f t="shared" si="2"/>
        <v>45403</v>
      </c>
      <c r="D60" s="205">
        <f t="shared" si="3"/>
        <v>0.39583333333333331</v>
      </c>
      <c r="E60" s="3" t="str">
        <f t="shared" si="4"/>
        <v>Rødovre Bowlinghal</v>
      </c>
      <c r="F60" s="3" t="str">
        <f t="shared" si="5"/>
        <v>BK Center 3 - LBC 2012</v>
      </c>
      <c r="G60" s="206"/>
      <c r="H60" s="138" t="s">
        <v>220</v>
      </c>
      <c r="I60" s="138" t="s">
        <v>218</v>
      </c>
      <c r="J60" s="138" t="s">
        <v>36</v>
      </c>
      <c r="K60" s="138" t="s">
        <v>219</v>
      </c>
      <c r="L60" s="138"/>
      <c r="M60" s="138"/>
      <c r="N60" s="138"/>
      <c r="O60" s="3">
        <v>437.5</v>
      </c>
      <c r="P60" s="3">
        <v>72</v>
      </c>
      <c r="Q60" s="3">
        <v>3</v>
      </c>
      <c r="R60" s="3">
        <v>4</v>
      </c>
      <c r="S60" s="3" t="str">
        <f t="shared" si="6"/>
        <v>Øst Række Mix Mix 1</v>
      </c>
      <c r="T60" s="3" t="str">
        <f t="shared" si="7"/>
        <v>BK Center 3</v>
      </c>
      <c r="U60" s="3" t="str">
        <f t="shared" si="8"/>
        <v>LBC 2012</v>
      </c>
      <c r="V60" s="206"/>
      <c r="W60">
        <v>423254</v>
      </c>
      <c r="X60" t="s">
        <v>194</v>
      </c>
      <c r="Y60" t="s">
        <v>195</v>
      </c>
      <c r="Z60" t="s">
        <v>197</v>
      </c>
      <c r="AA60" t="s">
        <v>64</v>
      </c>
      <c r="AB60" t="s">
        <v>178</v>
      </c>
      <c r="AC60" s="214">
        <v>45403</v>
      </c>
      <c r="AD60" s="190">
        <v>0.39583333333333331</v>
      </c>
    </row>
    <row r="61" spans="1:30" x14ac:dyDescent="0.25">
      <c r="A61" s="3">
        <f t="shared" si="0"/>
        <v>423258</v>
      </c>
      <c r="B61" s="3" t="str">
        <f t="shared" si="1"/>
        <v>Øst Række Mix Mix 1</v>
      </c>
      <c r="C61" s="204">
        <f t="shared" si="2"/>
        <v>45424</v>
      </c>
      <c r="D61" s="205">
        <f t="shared" si="3"/>
        <v>0.375</v>
      </c>
      <c r="E61" s="3" t="str">
        <f t="shared" si="4"/>
        <v>BBC Tårnby</v>
      </c>
      <c r="F61" s="3" t="str">
        <f t="shared" si="5"/>
        <v>S.A.S. 4 - LBC 2012</v>
      </c>
      <c r="G61" s="206"/>
      <c r="H61" s="138" t="s">
        <v>220</v>
      </c>
      <c r="I61" s="138" t="s">
        <v>218</v>
      </c>
      <c r="J61" s="138" t="s">
        <v>36</v>
      </c>
      <c r="K61" s="138" t="s">
        <v>219</v>
      </c>
      <c r="L61" s="138"/>
      <c r="M61" s="138"/>
      <c r="N61" s="138"/>
      <c r="O61" s="3">
        <v>455</v>
      </c>
      <c r="P61" s="3">
        <v>72</v>
      </c>
      <c r="Q61" s="3">
        <v>3</v>
      </c>
      <c r="R61" s="3">
        <v>4</v>
      </c>
      <c r="S61" s="3" t="str">
        <f t="shared" si="6"/>
        <v>Øst Række Mix Mix 1</v>
      </c>
      <c r="T61" s="3" t="str">
        <f t="shared" si="7"/>
        <v>S.A.S. 4</v>
      </c>
      <c r="U61" s="3" t="str">
        <f t="shared" si="8"/>
        <v>LBC 2012</v>
      </c>
      <c r="V61" s="206"/>
      <c r="W61">
        <v>423258</v>
      </c>
      <c r="X61" t="s">
        <v>194</v>
      </c>
      <c r="Y61" t="s">
        <v>195</v>
      </c>
      <c r="Z61" t="s">
        <v>198</v>
      </c>
      <c r="AA61" t="s">
        <v>64</v>
      </c>
      <c r="AB61" t="s">
        <v>147</v>
      </c>
      <c r="AC61" s="214">
        <v>45424</v>
      </c>
      <c r="AD61" s="190">
        <v>0.375</v>
      </c>
    </row>
    <row r="62" spans="1:30" hidden="1" x14ac:dyDescent="0.25">
      <c r="A62" s="3">
        <f t="shared" si="0"/>
        <v>423316</v>
      </c>
      <c r="B62" s="3" t="str">
        <f t="shared" si="1"/>
        <v>Øst Række Mix Mix 4</v>
      </c>
      <c r="C62" s="204">
        <f t="shared" si="2"/>
        <v>45207</v>
      </c>
      <c r="D62" s="205">
        <f t="shared" si="3"/>
        <v>0.41666666666666669</v>
      </c>
      <c r="E62" s="3" t="str">
        <f t="shared" si="4"/>
        <v>Fjordbowling - Frederikssund</v>
      </c>
      <c r="F62" s="3" t="str">
        <f t="shared" si="5"/>
        <v>LBC 2012 - Familie Bowl 1</v>
      </c>
      <c r="G62" s="206"/>
      <c r="H62" s="138" t="s">
        <v>128</v>
      </c>
      <c r="I62" s="138" t="s">
        <v>161</v>
      </c>
      <c r="J62" s="138" t="s">
        <v>44</v>
      </c>
      <c r="K62" s="138" t="s">
        <v>45</v>
      </c>
      <c r="L62" s="138"/>
      <c r="M62" s="138"/>
      <c r="N62" s="138"/>
      <c r="O62" s="3">
        <v>400</v>
      </c>
      <c r="P62" s="3">
        <v>72</v>
      </c>
      <c r="Q62" s="3">
        <v>3</v>
      </c>
      <c r="R62" s="3">
        <v>4</v>
      </c>
      <c r="S62" s="3" t="str">
        <f t="shared" si="6"/>
        <v>Øst Række Mix Mix 4</v>
      </c>
      <c r="T62" s="3" t="str">
        <f t="shared" si="7"/>
        <v>LBC 2012</v>
      </c>
      <c r="U62" s="3" t="str">
        <f t="shared" si="8"/>
        <v>Familie Bowl 1</v>
      </c>
      <c r="V62" s="206"/>
      <c r="W62">
        <v>423316</v>
      </c>
      <c r="X62" t="s">
        <v>194</v>
      </c>
      <c r="Y62" t="s">
        <v>199</v>
      </c>
      <c r="Z62" t="s">
        <v>64</v>
      </c>
      <c r="AA62" t="s">
        <v>172</v>
      </c>
      <c r="AB62" t="s">
        <v>148</v>
      </c>
      <c r="AC62" s="214">
        <v>45207</v>
      </c>
      <c r="AD62" s="190">
        <v>0.41666666666666669</v>
      </c>
    </row>
    <row r="63" spans="1:30" hidden="1" x14ac:dyDescent="0.25">
      <c r="A63" s="3">
        <f t="shared" si="0"/>
        <v>423319</v>
      </c>
      <c r="B63" s="3" t="str">
        <f t="shared" si="1"/>
        <v>Øst Række Mix Mix 4</v>
      </c>
      <c r="C63" s="204">
        <f t="shared" si="2"/>
        <v>45228</v>
      </c>
      <c r="D63" s="205">
        <f t="shared" si="3"/>
        <v>0.5625</v>
      </c>
      <c r="E63" s="3" t="str">
        <f t="shared" si="4"/>
        <v>Bowlernes Hal, Grøndal</v>
      </c>
      <c r="F63" s="3" t="str">
        <f t="shared" si="5"/>
        <v>FBK 2000 3 - LBC 2012</v>
      </c>
      <c r="G63" s="206"/>
      <c r="H63" s="138" t="s">
        <v>128</v>
      </c>
      <c r="I63" s="138" t="s">
        <v>161</v>
      </c>
      <c r="J63" s="138" t="s">
        <v>44</v>
      </c>
      <c r="K63" s="138" t="s">
        <v>45</v>
      </c>
      <c r="L63" s="138"/>
      <c r="M63" s="138"/>
      <c r="N63" s="138"/>
      <c r="O63" s="3">
        <v>400</v>
      </c>
      <c r="P63" s="3">
        <v>72</v>
      </c>
      <c r="Q63" s="3">
        <v>3</v>
      </c>
      <c r="R63" s="3">
        <v>4</v>
      </c>
      <c r="S63" s="3" t="str">
        <f t="shared" si="6"/>
        <v>Øst Række Mix Mix 4</v>
      </c>
      <c r="T63" s="3" t="str">
        <f t="shared" si="7"/>
        <v>FBK 2000 3</v>
      </c>
      <c r="U63" s="3" t="str">
        <f t="shared" si="8"/>
        <v>LBC 2012</v>
      </c>
      <c r="V63" s="206"/>
      <c r="W63">
        <v>423319</v>
      </c>
      <c r="X63" t="s">
        <v>194</v>
      </c>
      <c r="Y63" t="s">
        <v>199</v>
      </c>
      <c r="Z63" t="s">
        <v>200</v>
      </c>
      <c r="AA63" t="s">
        <v>64</v>
      </c>
      <c r="AB63" t="s">
        <v>151</v>
      </c>
      <c r="AC63" s="214">
        <v>45228</v>
      </c>
      <c r="AD63" s="190">
        <v>0.5625</v>
      </c>
    </row>
    <row r="64" spans="1:30" x14ac:dyDescent="0.25">
      <c r="A64" s="3">
        <f t="shared" si="0"/>
        <v>423322</v>
      </c>
      <c r="B64" s="3" t="str">
        <f t="shared" si="1"/>
        <v>Øst Række Mix Mix 4</v>
      </c>
      <c r="C64" s="204">
        <f t="shared" si="2"/>
        <v>45248</v>
      </c>
      <c r="D64" s="205">
        <f t="shared" si="3"/>
        <v>0.45833333333333331</v>
      </c>
      <c r="E64" s="3" t="str">
        <f t="shared" si="4"/>
        <v>City Bowling Roskilde</v>
      </c>
      <c r="F64" s="3" t="str">
        <f t="shared" si="5"/>
        <v>FBK 2000 2 - LBC 2012</v>
      </c>
      <c r="G64" s="206"/>
      <c r="H64" s="138" t="s">
        <v>128</v>
      </c>
      <c r="I64" s="138" t="s">
        <v>161</v>
      </c>
      <c r="J64" s="138" t="s">
        <v>44</v>
      </c>
      <c r="K64" s="138" t="s">
        <v>45</v>
      </c>
      <c r="L64" s="138"/>
      <c r="M64" s="138"/>
      <c r="N64" s="138"/>
      <c r="O64" s="3">
        <v>337.5</v>
      </c>
      <c r="P64" s="3">
        <v>72</v>
      </c>
      <c r="Q64" s="3">
        <v>3</v>
      </c>
      <c r="R64" s="3">
        <v>4</v>
      </c>
      <c r="S64" s="3" t="str">
        <f t="shared" si="6"/>
        <v>Øst Række Mix Mix 4</v>
      </c>
      <c r="T64" s="3" t="str">
        <f t="shared" si="7"/>
        <v>FBK 2000 2</v>
      </c>
      <c r="U64" s="3" t="str">
        <f t="shared" si="8"/>
        <v>LBC 2012</v>
      </c>
      <c r="V64" s="206"/>
      <c r="W64">
        <v>423322</v>
      </c>
      <c r="X64" t="s">
        <v>194</v>
      </c>
      <c r="Y64" t="s">
        <v>199</v>
      </c>
      <c r="Z64" t="s">
        <v>150</v>
      </c>
      <c r="AA64" t="s">
        <v>64</v>
      </c>
      <c r="AB64" t="s">
        <v>186</v>
      </c>
      <c r="AC64" s="214">
        <v>45248</v>
      </c>
      <c r="AD64" s="190">
        <v>0.45833333333333331</v>
      </c>
    </row>
    <row r="65" spans="1:30" x14ac:dyDescent="0.25">
      <c r="A65" s="3">
        <f t="shared" si="0"/>
        <v>423326</v>
      </c>
      <c r="B65" s="3" t="str">
        <f t="shared" si="1"/>
        <v>Øst Række Mix Mix 4</v>
      </c>
      <c r="C65" s="204">
        <f t="shared" si="2"/>
        <v>45304</v>
      </c>
      <c r="D65" s="205">
        <f t="shared" si="3"/>
        <v>0.5</v>
      </c>
      <c r="E65" s="3" t="str">
        <f t="shared" si="4"/>
        <v>Køge Bowling Center</v>
      </c>
      <c r="F65" s="3" t="str">
        <f t="shared" si="5"/>
        <v>LBC 2012 - BK Roar 1</v>
      </c>
      <c r="G65" s="206"/>
      <c r="H65" s="138" t="s">
        <v>128</v>
      </c>
      <c r="I65" s="138" t="s">
        <v>161</v>
      </c>
      <c r="J65" s="138" t="s">
        <v>44</v>
      </c>
      <c r="K65" s="138" t="s">
        <v>45</v>
      </c>
      <c r="L65" s="138"/>
      <c r="M65" s="138"/>
      <c r="N65" s="138"/>
      <c r="O65" s="3">
        <v>400</v>
      </c>
      <c r="P65" s="3">
        <v>72</v>
      </c>
      <c r="Q65" s="3">
        <v>3</v>
      </c>
      <c r="R65" s="3">
        <v>4</v>
      </c>
      <c r="S65" s="3" t="str">
        <f t="shared" si="6"/>
        <v>Øst Række Mix Mix 4</v>
      </c>
      <c r="T65" s="3" t="str">
        <f t="shared" si="7"/>
        <v>LBC 2012</v>
      </c>
      <c r="U65" s="3" t="str">
        <f t="shared" si="8"/>
        <v>BK Roar 1</v>
      </c>
      <c r="V65" s="206"/>
      <c r="W65">
        <v>423326</v>
      </c>
      <c r="X65" t="s">
        <v>194</v>
      </c>
      <c r="Y65" t="s">
        <v>199</v>
      </c>
      <c r="Z65" t="s">
        <v>64</v>
      </c>
      <c r="AA65" t="s">
        <v>167</v>
      </c>
      <c r="AB65" t="s">
        <v>146</v>
      </c>
      <c r="AC65" s="214">
        <v>45304</v>
      </c>
      <c r="AD65" s="190">
        <v>0.5</v>
      </c>
    </row>
    <row r="66" spans="1:30" x14ac:dyDescent="0.25">
      <c r="A66" s="3">
        <f t="shared" si="0"/>
        <v>423330</v>
      </c>
      <c r="B66" s="3" t="str">
        <f t="shared" si="1"/>
        <v>Øst Række Mix Mix 4</v>
      </c>
      <c r="C66" s="204">
        <f t="shared" si="2"/>
        <v>45403</v>
      </c>
      <c r="D66" s="205">
        <f t="shared" si="3"/>
        <v>0.39583333333333331</v>
      </c>
      <c r="E66" s="3" t="str">
        <f t="shared" si="4"/>
        <v>Rødovre Bowlinghal</v>
      </c>
      <c r="F66" s="3" t="str">
        <f t="shared" si="5"/>
        <v>Triominos 3 - LBC 2012</v>
      </c>
      <c r="G66" s="206"/>
      <c r="H66" s="138" t="s">
        <v>128</v>
      </c>
      <c r="I66" s="138" t="s">
        <v>161</v>
      </c>
      <c r="J66" s="138" t="s">
        <v>44</v>
      </c>
      <c r="K66" s="138" t="s">
        <v>45</v>
      </c>
      <c r="L66" s="138"/>
      <c r="M66" s="138"/>
      <c r="N66" s="138"/>
      <c r="O66" s="3">
        <v>437.5</v>
      </c>
      <c r="P66" s="3">
        <v>72</v>
      </c>
      <c r="Q66" s="3">
        <v>3</v>
      </c>
      <c r="R66" s="3">
        <v>4</v>
      </c>
      <c r="S66" s="3" t="str">
        <f t="shared" si="6"/>
        <v>Øst Række Mix Mix 4</v>
      </c>
      <c r="T66" s="3" t="str">
        <f t="shared" si="7"/>
        <v>Triominos 3</v>
      </c>
      <c r="U66" s="3" t="str">
        <f t="shared" si="8"/>
        <v>LBC 2012</v>
      </c>
      <c r="V66" s="206"/>
      <c r="W66">
        <v>423330</v>
      </c>
      <c r="X66" t="s">
        <v>194</v>
      </c>
      <c r="Y66" t="s">
        <v>199</v>
      </c>
      <c r="Z66" t="s">
        <v>201</v>
      </c>
      <c r="AA66" t="s">
        <v>64</v>
      </c>
      <c r="AB66" t="s">
        <v>178</v>
      </c>
      <c r="AC66" s="214">
        <v>45403</v>
      </c>
      <c r="AD66" s="190">
        <v>0.39583333333333331</v>
      </c>
    </row>
    <row r="67" spans="1:30" x14ac:dyDescent="0.25">
      <c r="A67" s="3">
        <f>W67</f>
        <v>423334</v>
      </c>
      <c r="B67" s="3" t="str">
        <f>X67&amp;" "&amp;Y67</f>
        <v>Øst Række Mix Mix 4</v>
      </c>
      <c r="C67" s="204">
        <f>AC67</f>
        <v>45424</v>
      </c>
      <c r="D67" s="205">
        <f>AD67</f>
        <v>0.39583333333333331</v>
      </c>
      <c r="E67" s="3" t="str">
        <f>AB67</f>
        <v>Gladsaxe Bowling</v>
      </c>
      <c r="F67" s="3" t="str">
        <f>Z67&amp;" - "&amp;AA67</f>
        <v>LBC 2012 - BK Døvania 1</v>
      </c>
      <c r="G67" s="206"/>
      <c r="H67" s="138" t="s">
        <v>128</v>
      </c>
      <c r="I67" s="138" t="s">
        <v>161</v>
      </c>
      <c r="J67" s="138" t="s">
        <v>44</v>
      </c>
      <c r="K67" s="138" t="s">
        <v>45</v>
      </c>
      <c r="L67" s="138"/>
      <c r="M67" s="138"/>
      <c r="N67" s="138"/>
      <c r="O67" s="3">
        <v>350</v>
      </c>
      <c r="P67" s="3">
        <v>72</v>
      </c>
      <c r="Q67" s="3">
        <v>3</v>
      </c>
      <c r="R67" s="3">
        <v>4</v>
      </c>
      <c r="S67" s="3" t="str">
        <f t="shared" ref="S67" si="9">B67</f>
        <v>Øst Række Mix Mix 4</v>
      </c>
      <c r="T67" s="3" t="str">
        <f t="shared" ref="T67:U67" si="10">Z67</f>
        <v>LBC 2012</v>
      </c>
      <c r="U67" s="3" t="str">
        <f t="shared" si="10"/>
        <v>BK Døvania 1</v>
      </c>
      <c r="V67" s="206"/>
      <c r="W67">
        <v>423334</v>
      </c>
      <c r="X67" t="s">
        <v>194</v>
      </c>
      <c r="Y67" t="s">
        <v>199</v>
      </c>
      <c r="Z67" t="s">
        <v>64</v>
      </c>
      <c r="AA67" t="s">
        <v>168</v>
      </c>
      <c r="AB67" t="s">
        <v>166</v>
      </c>
      <c r="AC67" s="214">
        <v>45424</v>
      </c>
      <c r="AD67" s="190">
        <v>0.39583333333333331</v>
      </c>
    </row>
  </sheetData>
  <sheetProtection sheet="1" autoFilter="0"/>
  <autoFilter ref="A1:AD67">
    <filterColumn colId="2">
      <filters>
        <dateGroupItem year="2024" dateTimeGrouping="year"/>
        <dateGroupItem year="2023" month="11" dateTimeGrouping="month"/>
        <dateGroupItem year="2023" month="12" dateTimeGrouping="month"/>
      </filters>
    </filterColumn>
  </autoFilter>
  <sortState ref="A2:R25">
    <sortCondition ref="A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Zeros="0" workbookViewId="0">
      <selection activeCell="A10" sqref="A10"/>
    </sheetView>
  </sheetViews>
  <sheetFormatPr defaultRowHeight="15" x14ac:dyDescent="0.25"/>
  <cols>
    <col min="1" max="1" width="23.28515625" customWidth="1"/>
    <col min="2" max="6" width="12.85546875" customWidth="1"/>
    <col min="7" max="7" width="10" customWidth="1"/>
    <col min="8" max="8" width="14.7109375" customWidth="1"/>
    <col min="10" max="10" width="14.7109375" bestFit="1" customWidth="1"/>
  </cols>
  <sheetData>
    <row r="1" spans="1:11" ht="18.75" x14ac:dyDescent="0.3">
      <c r="A1" s="226" t="s">
        <v>0</v>
      </c>
      <c r="B1" s="226"/>
      <c r="C1" s="226"/>
      <c r="D1" s="226"/>
      <c r="E1" s="226"/>
      <c r="F1" s="226"/>
      <c r="G1" s="226"/>
      <c r="H1" s="226"/>
      <c r="I1" s="216"/>
      <c r="J1" s="216"/>
      <c r="K1" s="216"/>
    </row>
    <row r="2" spans="1:11" ht="18.75" x14ac:dyDescent="0.3">
      <c r="A2" s="152"/>
      <c r="B2" s="152"/>
      <c r="C2" s="152"/>
      <c r="D2" s="152"/>
      <c r="E2" s="152"/>
      <c r="F2" s="152"/>
      <c r="G2" s="152"/>
      <c r="H2" s="152"/>
    </row>
    <row r="3" spans="1:11" x14ac:dyDescent="0.25">
      <c r="A3" s="4" t="s">
        <v>51</v>
      </c>
      <c r="B3" s="192">
        <f>+Kampe!A4</f>
        <v>423009</v>
      </c>
      <c r="D3" s="9" t="s">
        <v>61</v>
      </c>
      <c r="E3" s="236" t="str">
        <f>VLOOKUP($B$3,Kampe!A:R,2,FALSE)</f>
        <v>DT Herrer Øst 3 Div. B</v>
      </c>
      <c r="F3" s="237"/>
    </row>
    <row r="4" spans="1:11" x14ac:dyDescent="0.25">
      <c r="A4" s="4" t="s">
        <v>98</v>
      </c>
      <c r="B4" s="203">
        <f>VLOOKUP($B$3,Kampe!$A:$V,3,FALSE)</f>
        <v>45220</v>
      </c>
      <c r="C4" s="193">
        <f>VLOOKUP(B3,Kampe!$A:$N,4,FALSE)</f>
        <v>0.5</v>
      </c>
      <c r="D4" s="9" t="s">
        <v>60</v>
      </c>
      <c r="E4" s="231" t="str">
        <f>VLOOKUP($B$3,Kampe!A:R,5,FALSE)</f>
        <v>Rødovre Bowlinghal</v>
      </c>
      <c r="F4" s="232"/>
    </row>
    <row r="5" spans="1:11" x14ac:dyDescent="0.25">
      <c r="A5" s="4" t="s">
        <v>3</v>
      </c>
      <c r="B5" s="231" t="str">
        <f>VLOOKUP($B$3,Kampe!A:R,6,FALSE)</f>
        <v>Politiet IF 2 - LBC 2012</v>
      </c>
      <c r="C5" s="231"/>
      <c r="D5" s="231"/>
      <c r="E5" s="238"/>
      <c r="F5" s="238"/>
    </row>
    <row r="6" spans="1:11" x14ac:dyDescent="0.25">
      <c r="A6" s="215" t="s">
        <v>136</v>
      </c>
      <c r="B6" s="232">
        <f>VLOOKUP(B3,Kampe!A:G,7,FALSE)</f>
        <v>0</v>
      </c>
      <c r="C6" s="232"/>
      <c r="D6" s="232"/>
      <c r="E6" s="214"/>
      <c r="F6" s="214"/>
      <c r="G6" s="214"/>
      <c r="H6" s="214"/>
    </row>
    <row r="7" spans="1:11" ht="15.75" thickBot="1" x14ac:dyDescent="0.3">
      <c r="D7" s="214"/>
      <c r="E7" s="214"/>
      <c r="F7" s="214"/>
      <c r="G7" s="214"/>
      <c r="H7" s="214"/>
    </row>
    <row r="8" spans="1:11" ht="15.75" hidden="1" thickBot="1" x14ac:dyDescent="0.3">
      <c r="A8" t="s">
        <v>4</v>
      </c>
      <c r="B8" s="5">
        <f>VLOOKUP($B$3,Kampe!A:R,17,FALSE)</f>
        <v>6</v>
      </c>
      <c r="C8" t="s">
        <v>5</v>
      </c>
      <c r="D8" s="8">
        <f>VLOOKUP($B$3,Kampe!A:R,18,FALSE)</f>
        <v>4</v>
      </c>
      <c r="E8" s="8"/>
    </row>
    <row r="9" spans="1:11" ht="15.75" thickBot="1" x14ac:dyDescent="0.3">
      <c r="A9" s="1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13" t="s">
        <v>11</v>
      </c>
      <c r="G9" s="153" t="s">
        <v>12</v>
      </c>
      <c r="H9" s="156" t="s">
        <v>127</v>
      </c>
    </row>
    <row r="10" spans="1:11" ht="18" customHeight="1" x14ac:dyDescent="0.25">
      <c r="A10" s="139" t="str">
        <f>VLOOKUP($B$3,Kampe!A:R,8,FALSE)</f>
        <v>Kent</v>
      </c>
      <c r="B10" s="161"/>
      <c r="C10" s="162"/>
      <c r="D10" s="162"/>
      <c r="E10" s="162"/>
      <c r="F10" s="163"/>
      <c r="G10" s="164"/>
      <c r="H10" s="157"/>
    </row>
    <row r="11" spans="1:11" ht="18" customHeight="1" x14ac:dyDescent="0.25">
      <c r="A11" s="140" t="str">
        <f>VLOOKUP($B$3,Kampe!A:R,9,FALSE)</f>
        <v>Lars J</v>
      </c>
      <c r="B11" s="165"/>
      <c r="C11" s="3"/>
      <c r="D11" s="3"/>
      <c r="E11" s="3"/>
      <c r="F11" s="166"/>
      <c r="G11" s="167"/>
      <c r="H11" s="154"/>
    </row>
    <row r="12" spans="1:11" ht="18" customHeight="1" x14ac:dyDescent="0.25">
      <c r="A12" s="140" t="str">
        <f>VLOOKUP($B$3,Kampe!A:R,10,FALSE)</f>
        <v>Jens C</v>
      </c>
      <c r="B12" s="165"/>
      <c r="C12" s="3"/>
      <c r="D12" s="3"/>
      <c r="E12" s="3"/>
      <c r="F12" s="166"/>
      <c r="G12" s="167"/>
      <c r="H12" s="154"/>
    </row>
    <row r="13" spans="1:11" ht="18" customHeight="1" x14ac:dyDescent="0.25">
      <c r="A13" s="140" t="str">
        <f>VLOOKUP($B$3,Kampe!A:R,11,FALSE)</f>
        <v>Peter</v>
      </c>
      <c r="B13" s="165"/>
      <c r="C13" s="3"/>
      <c r="D13" s="3"/>
      <c r="E13" s="3"/>
      <c r="F13" s="166"/>
      <c r="G13" s="167"/>
      <c r="H13" s="154"/>
    </row>
    <row r="14" spans="1:11" ht="18" customHeight="1" x14ac:dyDescent="0.25">
      <c r="A14" s="140" t="str">
        <f>VLOOKUP($B$3,Kampe!A:R,12,FALSE)</f>
        <v>Ole</v>
      </c>
      <c r="B14" s="165"/>
      <c r="C14" s="3"/>
      <c r="D14" s="3"/>
      <c r="E14" s="3"/>
      <c r="F14" s="166"/>
      <c r="G14" s="167"/>
      <c r="H14" s="154"/>
    </row>
    <row r="15" spans="1:11" ht="18" customHeight="1" x14ac:dyDescent="0.25">
      <c r="A15" s="140" t="str">
        <f>VLOOKUP($B$3,Kampe!A:R,13,FALSE)</f>
        <v>Jens J</v>
      </c>
      <c r="B15" s="165"/>
      <c r="C15" s="3"/>
      <c r="D15" s="3"/>
      <c r="E15" s="3"/>
      <c r="F15" s="166"/>
      <c r="G15" s="167"/>
      <c r="H15" s="154"/>
    </row>
    <row r="16" spans="1:11" ht="15.75" thickBot="1" x14ac:dyDescent="0.3">
      <c r="A16" s="140" t="str">
        <f>VLOOKUP($B$3,Kampe!A:R,14,FALSE)</f>
        <v>Lena</v>
      </c>
      <c r="B16" s="168"/>
      <c r="C16" s="169"/>
      <c r="D16" s="169"/>
      <c r="E16" s="169"/>
      <c r="F16" s="170"/>
      <c r="G16" s="171"/>
      <c r="H16" s="154"/>
    </row>
    <row r="17" spans="1:9" ht="15.75" thickBot="1" x14ac:dyDescent="0.3">
      <c r="A17" s="172" t="s">
        <v>13</v>
      </c>
      <c r="B17" s="173"/>
      <c r="C17" s="174"/>
      <c r="D17" s="174"/>
      <c r="E17" s="174"/>
      <c r="F17" s="175"/>
      <c r="G17" s="176"/>
      <c r="H17" s="155"/>
    </row>
    <row r="18" spans="1:9" ht="18" customHeight="1" x14ac:dyDescent="0.25">
      <c r="A18" s="4" t="s">
        <v>16</v>
      </c>
    </row>
    <row r="19" spans="1:9" x14ac:dyDescent="0.25">
      <c r="A19" s="6" t="s">
        <v>54</v>
      </c>
      <c r="B19" s="6">
        <f>ROUNDUP(H22/B8,0)</f>
        <v>170</v>
      </c>
      <c r="D19" s="230" t="s">
        <v>55</v>
      </c>
      <c r="E19" s="230"/>
      <c r="F19" s="6">
        <f>ROUNDUP(B19/D8,0)</f>
        <v>43</v>
      </c>
      <c r="I19" s="3" t="s">
        <v>14</v>
      </c>
    </row>
    <row r="20" spans="1:9" x14ac:dyDescent="0.25">
      <c r="A20" s="233" t="s">
        <v>17</v>
      </c>
      <c r="B20" s="234"/>
      <c r="C20" s="234"/>
      <c r="D20" s="234"/>
      <c r="E20" s="234"/>
      <c r="F20" s="234"/>
      <c r="G20" s="235"/>
      <c r="H20" s="7">
        <f>VLOOKUP($B$3,Kampe!$A$2:$R$67,15,FALSE)</f>
        <v>875</v>
      </c>
      <c r="I20" s="3" t="s">
        <v>18</v>
      </c>
    </row>
    <row r="21" spans="1:9" x14ac:dyDescent="0.25">
      <c r="A21" s="227" t="s">
        <v>19</v>
      </c>
      <c r="B21" s="228"/>
      <c r="C21" s="228"/>
      <c r="D21" s="228"/>
      <c r="E21" s="228"/>
      <c r="F21" s="228"/>
      <c r="G21" s="229"/>
      <c r="H21" s="7">
        <f>VLOOKUP($B$3,Kampe!$A$2:$R$67,16,FALSE)</f>
        <v>144</v>
      </c>
      <c r="I21" s="3" t="s">
        <v>18</v>
      </c>
    </row>
    <row r="22" spans="1:9" x14ac:dyDescent="0.25">
      <c r="A22" s="233" t="s">
        <v>20</v>
      </c>
      <c r="B22" s="234"/>
      <c r="C22" s="234"/>
      <c r="D22" s="234"/>
      <c r="E22" s="234"/>
      <c r="F22" s="234"/>
      <c r="G22" s="235"/>
      <c r="H22" s="7">
        <f>H20+H21</f>
        <v>1019</v>
      </c>
      <c r="I22" s="3"/>
    </row>
    <row r="23" spans="1:9" x14ac:dyDescent="0.25">
      <c r="A23" s="227" t="s">
        <v>21</v>
      </c>
      <c r="B23" s="228"/>
      <c r="C23" s="228"/>
      <c r="D23" s="228"/>
      <c r="E23" s="228"/>
      <c r="F23" s="228"/>
      <c r="G23" s="229"/>
      <c r="H23" s="7">
        <f>B19*B8</f>
        <v>1020</v>
      </c>
      <c r="I23" s="3"/>
    </row>
    <row r="24" spans="1:9" x14ac:dyDescent="0.25">
      <c r="A24" s="233" t="s">
        <v>23</v>
      </c>
      <c r="B24" s="234"/>
      <c r="C24" s="234"/>
      <c r="D24" s="234"/>
      <c r="E24" s="234"/>
      <c r="F24" s="234"/>
      <c r="G24" s="235"/>
      <c r="H24" s="7">
        <f>H23-H22</f>
        <v>1</v>
      </c>
      <c r="I24" s="3" t="s">
        <v>15</v>
      </c>
    </row>
    <row r="25" spans="1:9" x14ac:dyDescent="0.25">
      <c r="A25" s="227" t="s">
        <v>22</v>
      </c>
      <c r="B25" s="228"/>
      <c r="C25" s="228"/>
      <c r="D25" s="228"/>
      <c r="E25" s="228"/>
      <c r="F25" s="228"/>
      <c r="G25" s="229"/>
      <c r="H25" s="11">
        <f>H23-H22+H21</f>
        <v>145</v>
      </c>
      <c r="I25" s="3"/>
    </row>
    <row r="26" spans="1:9" x14ac:dyDescent="0.25">
      <c r="A26" s="233" t="s">
        <v>56</v>
      </c>
      <c r="B26" s="234"/>
      <c r="C26" s="234"/>
      <c r="D26" s="234"/>
      <c r="E26" s="234"/>
      <c r="F26" s="234"/>
      <c r="G26" s="235"/>
      <c r="H26" s="11">
        <f>IF(G17=0,0,G17)</f>
        <v>0</v>
      </c>
      <c r="I26" s="3" t="s">
        <v>15</v>
      </c>
    </row>
    <row r="27" spans="1:9" ht="24.6" customHeight="1" x14ac:dyDescent="0.25">
      <c r="A27" s="3" t="s">
        <v>24</v>
      </c>
      <c r="B27" s="227" t="s">
        <v>57</v>
      </c>
      <c r="C27" s="228"/>
      <c r="D27" s="228"/>
      <c r="E27" s="228"/>
      <c r="F27" s="228"/>
      <c r="G27" s="229"/>
      <c r="H27" s="12">
        <f>IF(G17=0,0,SUM(H25+H26))</f>
        <v>0</v>
      </c>
      <c r="I27" s="3"/>
    </row>
    <row r="29" spans="1:9" x14ac:dyDescent="0.25">
      <c r="A29" t="s">
        <v>25</v>
      </c>
    </row>
    <row r="30" spans="1:9" x14ac:dyDescent="0.25">
      <c r="A30" t="s">
        <v>58</v>
      </c>
      <c r="C30">
        <v>2510</v>
      </c>
      <c r="D30">
        <v>6895848318</v>
      </c>
      <c r="E30" t="s">
        <v>59</v>
      </c>
    </row>
  </sheetData>
  <sheetProtection sheet="1" objects="1" scenarios="1" selectLockedCells="1"/>
  <mergeCells count="15">
    <mergeCell ref="A1:H1"/>
    <mergeCell ref="A23:G23"/>
    <mergeCell ref="D19:E19"/>
    <mergeCell ref="B27:G27"/>
    <mergeCell ref="E4:F4"/>
    <mergeCell ref="A24:G24"/>
    <mergeCell ref="A25:G25"/>
    <mergeCell ref="A26:G26"/>
    <mergeCell ref="E3:F3"/>
    <mergeCell ref="A20:G20"/>
    <mergeCell ref="A21:G21"/>
    <mergeCell ref="A22:G22"/>
    <mergeCell ref="B6:D6"/>
    <mergeCell ref="B5:D5"/>
    <mergeCell ref="E5:F5"/>
  </mergeCells>
  <pageMargins left="0" right="0" top="0.74803149606299213" bottom="0.74803149606299213" header="0.31496062992125984" footer="0.31496062992125984"/>
  <pageSetup paperSize="9" orientation="landscape" r:id="rId1"/>
  <ignoredErrors>
    <ignoredError sqref="A11:A14 A15:A1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jl" error="Indtast korrekt kampnummer, eller hent den i listen">
          <x14:formula1>
            <xm:f>Kampe!$A$2:$A$67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Zeros="0" zoomScaleNormal="100" workbookViewId="0">
      <selection activeCell="A9" sqref="A9"/>
    </sheetView>
  </sheetViews>
  <sheetFormatPr defaultColWidth="8.85546875" defaultRowHeight="21" x14ac:dyDescent="0.35"/>
  <cols>
    <col min="1" max="1" width="20.28515625" style="15" customWidth="1"/>
    <col min="2" max="4" width="8.85546875" style="15"/>
    <col min="5" max="5" width="7.5703125" style="15" customWidth="1"/>
    <col min="6" max="9" width="7.85546875" style="15" customWidth="1"/>
    <col min="10" max="10" width="12" style="15" bestFit="1" customWidth="1"/>
    <col min="11" max="16384" width="8.85546875" style="15"/>
  </cols>
  <sheetData>
    <row r="1" spans="1:10" x14ac:dyDescent="0.35">
      <c r="A1" s="239" t="s">
        <v>51</v>
      </c>
      <c r="B1" s="240"/>
      <c r="C1" s="239" t="s">
        <v>62</v>
      </c>
      <c r="D1" s="247"/>
      <c r="E1" s="247"/>
      <c r="F1" s="247"/>
      <c r="G1" s="247"/>
      <c r="H1" s="247"/>
      <c r="I1" s="247"/>
      <c r="J1" s="240"/>
    </row>
    <row r="2" spans="1:10" ht="21.75" thickBot="1" x14ac:dyDescent="0.4">
      <c r="A2" s="241">
        <f>Misafregning!B3</f>
        <v>423009</v>
      </c>
      <c r="B2" s="242"/>
      <c r="C2" s="241" t="str">
        <f>VLOOKUP($A$2,Kampe!$A$1:$U$69,19,FALSE)</f>
        <v>DT Herrer Øst 3 Div. B</v>
      </c>
      <c r="D2" s="246"/>
      <c r="E2" s="246"/>
      <c r="F2" s="246"/>
      <c r="G2" s="246"/>
      <c r="H2" s="246"/>
      <c r="I2" s="246"/>
      <c r="J2" s="242"/>
    </row>
    <row r="3" spans="1:10" x14ac:dyDescent="0.35">
      <c r="A3" s="239" t="s">
        <v>99</v>
      </c>
      <c r="B3" s="240"/>
      <c r="C3" s="239" t="s">
        <v>63</v>
      </c>
      <c r="D3" s="247"/>
      <c r="E3" s="247"/>
      <c r="F3" s="247"/>
      <c r="G3" s="247"/>
      <c r="H3" s="247"/>
      <c r="I3" s="247"/>
      <c r="J3" s="240"/>
    </row>
    <row r="4" spans="1:10" ht="21.75" thickBot="1" x14ac:dyDescent="0.4">
      <c r="A4" s="201">
        <f>VLOOKUP($A$2,Kampe!$A:$V,3,FALSE)</f>
        <v>45220</v>
      </c>
      <c r="B4" s="202">
        <f>VLOOKUP(A2,Kampe!$A:$N,4,FALSE)</f>
        <v>0.5</v>
      </c>
      <c r="C4" s="241" t="str">
        <f>VLOOKUP($A$2,Kampe!$A$1:$U$69,5,FALSE)</f>
        <v>Rødovre Bowlinghal</v>
      </c>
      <c r="D4" s="246"/>
      <c r="E4" s="246"/>
      <c r="F4" s="246"/>
      <c r="G4" s="246"/>
      <c r="H4" s="246"/>
      <c r="I4" s="246"/>
      <c r="J4" s="242"/>
    </row>
    <row r="5" spans="1:10" ht="21.75" thickBot="1" x14ac:dyDescent="0.4"/>
    <row r="6" spans="1:10" ht="21.75" thickBot="1" x14ac:dyDescent="0.4">
      <c r="A6" s="15" t="str">
        <f>VLOOKUP(A2,Kampe!A1:U69,20,FALSE)</f>
        <v>Politiet IF 2</v>
      </c>
      <c r="B6" s="14"/>
      <c r="C6" s="22" t="s">
        <v>65</v>
      </c>
      <c r="D6" s="14"/>
      <c r="E6" s="15" t="str">
        <f>VLOOKUP(A2,Kampe!A1:U69,21,FALSE)</f>
        <v>LBC 2012</v>
      </c>
    </row>
    <row r="7" spans="1:10" ht="21.75" thickBot="1" x14ac:dyDescent="0.4"/>
    <row r="8" spans="1:10" ht="21.75" thickBot="1" x14ac:dyDescent="0.4">
      <c r="A8" s="16"/>
      <c r="B8" s="248" t="str">
        <f>A6</f>
        <v>Politiet IF 2</v>
      </c>
      <c r="C8" s="249"/>
      <c r="D8" s="249"/>
      <c r="E8" s="250"/>
      <c r="F8" s="25">
        <v>1</v>
      </c>
      <c r="G8" s="25">
        <v>2</v>
      </c>
      <c r="H8" s="25">
        <v>3</v>
      </c>
      <c r="I8" s="25">
        <v>4</v>
      </c>
      <c r="J8" s="25" t="s">
        <v>16</v>
      </c>
    </row>
    <row r="9" spans="1:10" x14ac:dyDescent="0.35">
      <c r="A9" s="221">
        <f>IF($A$6= "LBC 2012",VLOOKUP(Misafregning!A10,Licensnumre!$C:$J,3,FALSE),0)</f>
        <v>0</v>
      </c>
      <c r="B9" s="243">
        <f>IF($A$6 = "LBC 2012",VLOOKUP(Misafregning!A10,Licensnumre!$C:$J,2,FALSE),0)</f>
        <v>0</v>
      </c>
      <c r="C9" s="244">
        <f>IF($A$6 = "LBC 2012",VLOOKUP(Misafregning!C10,Licensnumre!$C:$J,3,FALSE),0)</f>
        <v>0</v>
      </c>
      <c r="D9" s="244">
        <f>IF($A$6 = "LBC 2012",VLOOKUP(Misafregning!D10,Licensnumre!$C:$J,3,FALSE),0)</f>
        <v>0</v>
      </c>
      <c r="E9" s="245">
        <f>IF($A$6 = "LBC 2012",VLOOKUP(Misafregning!E10,Licensnumre!$C:$J,3,FALSE),0)</f>
        <v>0</v>
      </c>
      <c r="F9" s="217"/>
      <c r="G9" s="218"/>
      <c r="H9" s="218"/>
      <c r="I9" s="219"/>
      <c r="J9" s="220">
        <f t="shared" ref="J9:J14" si="0">SUM(F9:I9)</f>
        <v>0</v>
      </c>
    </row>
    <row r="10" spans="1:10" x14ac:dyDescent="0.35">
      <c r="A10" s="221">
        <f>IF($A$6= "LBC 2012",VLOOKUP(Misafregning!A11,Licensnumre!$C:$J,3,FALSE),0)</f>
        <v>0</v>
      </c>
      <c r="B10" s="243">
        <f>IF($A$6 = "LBC 2012",VLOOKUP(Misafregning!A11,Licensnumre!$C:$J,2,FALSE),0)</f>
        <v>0</v>
      </c>
      <c r="C10" s="244">
        <f>IF($A$6 = "LBC 2012",VLOOKUP(Misafregning!C11,Licensnumre!$C:$J,3,FALSE),0)</f>
        <v>0</v>
      </c>
      <c r="D10" s="244">
        <f>IF($A$6 = "LBC 2012",VLOOKUP(Misafregning!D11,Licensnumre!$C:$J,3,FALSE),0)</f>
        <v>0</v>
      </c>
      <c r="E10" s="245">
        <f>IF($A$6 = "LBC 2012",VLOOKUP(Misafregning!E11,Licensnumre!$C:$J,3,FALSE),0)</f>
        <v>0</v>
      </c>
      <c r="F10" s="222"/>
      <c r="G10" s="223"/>
      <c r="H10" s="223"/>
      <c r="I10" s="224"/>
      <c r="J10" s="225">
        <f t="shared" si="0"/>
        <v>0</v>
      </c>
    </row>
    <row r="11" spans="1:10" x14ac:dyDescent="0.35">
      <c r="A11" s="221">
        <f>IF($A$6 = "LBC 2012",VLOOKUP(Misafregning!A12,Licensnumre!$C:$J,3,FALSE),0)</f>
        <v>0</v>
      </c>
      <c r="B11" s="243">
        <f>IF($A$6 = "LBC 2012",VLOOKUP(Misafregning!A12,Licensnumre!$C:$J,2,FALSE),0)</f>
        <v>0</v>
      </c>
      <c r="C11" s="244">
        <f>IF($A$6 = "LBC 2012",VLOOKUP(Misafregning!C12,Licensnumre!$C:$J,3,FALSE),0)</f>
        <v>0</v>
      </c>
      <c r="D11" s="244">
        <f>IF($A$6 = "LBC 2012",VLOOKUP(Misafregning!D12,Licensnumre!$C:$J,3,FALSE),0)</f>
        <v>0</v>
      </c>
      <c r="E11" s="245">
        <f>IF($A$6 = "LBC 2012",VLOOKUP(Misafregning!E12,Licensnumre!$C:$J,3,FALSE),0)</f>
        <v>0</v>
      </c>
      <c r="F11" s="222"/>
      <c r="G11" s="223"/>
      <c r="H11" s="223"/>
      <c r="I11" s="224"/>
      <c r="J11" s="225">
        <f t="shared" si="0"/>
        <v>0</v>
      </c>
    </row>
    <row r="12" spans="1:10" x14ac:dyDescent="0.35">
      <c r="A12" s="221">
        <f>IF(Misafregning!A13=0,0,IF($A$6 = "LBC 2012",VLOOKUP(Misafregning!A13,Licensnumre!$C:$J,3,FALSE),0))</f>
        <v>0</v>
      </c>
      <c r="B12" s="243">
        <f>IF(Misafregning!A13=0,0,IF($A$6 = "LBC 2012",VLOOKUP(Misafregning!A13,Licensnumre!$C:$J,2,FALSE),0))</f>
        <v>0</v>
      </c>
      <c r="C12" s="244">
        <f>IF(Misafregning!C13=0,0,IF($A$6 = "LBC 2012",VLOOKUP(Misafregning!C13,Licensnumre!$C:$J,3,FALSE),0))</f>
        <v>0</v>
      </c>
      <c r="D12" s="244">
        <f>IF(Misafregning!D13=0,0,IF($A$6 = "LBC 2012",VLOOKUP(Misafregning!D13,Licensnumre!$C:$J,3,FALSE),0))</f>
        <v>0</v>
      </c>
      <c r="E12" s="245">
        <f>IF(Misafregning!E13=0,0,IF($A$6 = "LBC 2012",VLOOKUP(Misafregning!E13,Licensnumre!$C:$J,3,FALSE),0))</f>
        <v>0</v>
      </c>
      <c r="F12" s="222"/>
      <c r="G12" s="223"/>
      <c r="H12" s="223"/>
      <c r="I12" s="224"/>
      <c r="J12" s="225">
        <f t="shared" si="0"/>
        <v>0</v>
      </c>
    </row>
    <row r="13" spans="1:10" ht="21.75" thickBot="1" x14ac:dyDescent="0.4">
      <c r="A13" s="21" t="s">
        <v>66</v>
      </c>
      <c r="B13" s="251"/>
      <c r="C13" s="252"/>
      <c r="D13" s="252"/>
      <c r="E13" s="253"/>
      <c r="F13" s="141"/>
      <c r="G13" s="142"/>
      <c r="H13" s="142"/>
      <c r="I13" s="143"/>
      <c r="J13" s="24">
        <f t="shared" si="0"/>
        <v>0</v>
      </c>
    </row>
    <row r="14" spans="1:10" x14ac:dyDescent="0.35">
      <c r="A14" s="20" t="s">
        <v>67</v>
      </c>
      <c r="B14" s="258"/>
      <c r="C14" s="259"/>
      <c r="D14" s="259"/>
      <c r="E14" s="262"/>
      <c r="F14" s="26">
        <f>IF(SUM(F9:F13)=0,0,SUM(F9:F13))</f>
        <v>0</v>
      </c>
      <c r="G14" s="148">
        <f>IF(SUM(G9:G13)=0,0,SUM(G9:G13))</f>
        <v>0</v>
      </c>
      <c r="H14" s="148">
        <f>IF(SUM(H9:H13)=0,0,SUM(H9:H13))</f>
        <v>0</v>
      </c>
      <c r="I14" s="147">
        <f>IF(SUM(I9:I13)=0,0,SUM(I9:I13))</f>
        <v>0</v>
      </c>
      <c r="J14" s="23">
        <f t="shared" si="0"/>
        <v>0</v>
      </c>
    </row>
    <row r="15" spans="1:10" ht="21.75" thickBot="1" x14ac:dyDescent="0.4">
      <c r="A15" s="21" t="s">
        <v>68</v>
      </c>
      <c r="B15" s="260"/>
      <c r="C15" s="261"/>
      <c r="D15" s="261"/>
      <c r="E15" s="263"/>
      <c r="F15" s="27">
        <f>IF(F14=0,0,IF(F14&gt;F23,2,IF(F14=F23,1,0)))</f>
        <v>0</v>
      </c>
      <c r="G15" s="18">
        <f>IF(G14=0,0,IF(G14&gt;G23,2,IF(G14=G23,1,0)))</f>
        <v>0</v>
      </c>
      <c r="H15" s="18">
        <f>IF(H14=0,0,IF(H14&gt;H23,2,IF(H14=H23,1,0)))</f>
        <v>0</v>
      </c>
      <c r="I15" s="149">
        <f>IF(I14=0,0,IF(I14&gt;I23,2,IF(I14=I23,1,0)))</f>
        <v>0</v>
      </c>
      <c r="J15" s="24">
        <f>IF(J14=0,0,IF(J14&gt;J23,2,IF(J14=J23,1,0)))</f>
        <v>0</v>
      </c>
    </row>
    <row r="16" spans="1:10" ht="21.75" thickBot="1" x14ac:dyDescent="0.4"/>
    <row r="17" spans="1:10" ht="21.75" thickBot="1" x14ac:dyDescent="0.4">
      <c r="A17" s="16"/>
      <c r="B17" s="248" t="str">
        <f>E6</f>
        <v>LBC 2012</v>
      </c>
      <c r="C17" s="249"/>
      <c r="D17" s="249"/>
      <c r="E17" s="250"/>
      <c r="F17" s="25">
        <v>1</v>
      </c>
      <c r="G17" s="25">
        <v>2</v>
      </c>
      <c r="H17" s="25">
        <v>3</v>
      </c>
      <c r="I17" s="25">
        <v>4</v>
      </c>
      <c r="J17" s="25" t="s">
        <v>16</v>
      </c>
    </row>
    <row r="18" spans="1:10" x14ac:dyDescent="0.35">
      <c r="A18" s="200" t="str">
        <f>IF($E$6="LBC 2012",VLOOKUP(Misafregning!$A$10,Licensnumre!C:G,3),0)</f>
        <v>180161-KEKR</v>
      </c>
      <c r="B18" s="254" t="str">
        <f>IF($E$6="LBC 2012",VLOOKUP(Misafregning!$A$10,Licensnumre!C:G,2),0)</f>
        <v>Kent Kraa</v>
      </c>
      <c r="C18" s="255" t="e">
        <f>IF($E$6 = "LBC 2012",VLOOKUP(Misafregning!C10,Licensnumre!$C:$J,3,FALSE),0)</f>
        <v>#N/A</v>
      </c>
      <c r="D18" s="255" t="e">
        <f>IF($E$6 = "LBC 2012",VLOOKUP(Misafregning!D10,Licensnumre!$C:$J,3,FALSE),0)</f>
        <v>#N/A</v>
      </c>
      <c r="E18" s="256" t="e">
        <f>IF($E$6 = "LBC 2012",VLOOKUP(Misafregning!E10,Licensnumre!$C:$J,3,FALSE),0)</f>
        <v>#N/A</v>
      </c>
      <c r="F18" s="217"/>
      <c r="G18" s="218"/>
      <c r="H18" s="218"/>
      <c r="I18" s="219"/>
      <c r="J18" s="220">
        <f t="shared" ref="J18:J23" si="1">SUM(F18:I18)</f>
        <v>0</v>
      </c>
    </row>
    <row r="19" spans="1:10" x14ac:dyDescent="0.35">
      <c r="A19" s="221" t="str">
        <f>IF($E$6 = "LBC 2012",VLOOKUP(Misafregning!A11,Licensnumre!$C:$J,3,FALSE),0)</f>
        <v>030582-LAJØ</v>
      </c>
      <c r="B19" s="243" t="str">
        <f>IF($E$6 = "LBC 2012",VLOOKUP(Misafregning!A11,Licensnumre!$C:$J,2,FALSE),0)</f>
        <v>Lars Nicki Dybvik Jørgensen</v>
      </c>
      <c r="C19" s="244" t="e">
        <f>IF($E$6 = "LBC 2012",VLOOKUP(Misafregning!C11,Licensnumre!$C:$J,3,FALSE),0)</f>
        <v>#N/A</v>
      </c>
      <c r="D19" s="244" t="e">
        <f>IF($E$6 = "LBC 2012",VLOOKUP(Misafregning!D11,Licensnumre!$C:$J,3,FALSE),0)</f>
        <v>#N/A</v>
      </c>
      <c r="E19" s="245" t="e">
        <f>IF($E$6 = "LBC 2012",VLOOKUP(Misafregning!E11,Licensnumre!$C:$J,3,FALSE),0)</f>
        <v>#N/A</v>
      </c>
      <c r="F19" s="222"/>
      <c r="G19" s="223"/>
      <c r="H19" s="223"/>
      <c r="I19" s="224"/>
      <c r="J19" s="225">
        <f t="shared" si="1"/>
        <v>0</v>
      </c>
    </row>
    <row r="20" spans="1:10" x14ac:dyDescent="0.35">
      <c r="A20" s="221" t="str">
        <f>IF($E$6 = "LBC 2012",VLOOKUP(Misafregning!A12,Licensnumre!$C:$J,3,FALSE),0)</f>
        <v>090260-JEHA</v>
      </c>
      <c r="B20" s="243" t="str">
        <f>IF($E$6 = "LBC 2012",VLOOKUP(Misafregning!A12,Licensnumre!$C:$J,2,FALSE),0)</f>
        <v>Jens Christian Hansen</v>
      </c>
      <c r="C20" s="244" t="e">
        <f>IF($E$6 = "LBC 2012",VLOOKUP(Misafregning!C12,Licensnumre!$C:$J,3,FALSE),0)</f>
        <v>#N/A</v>
      </c>
      <c r="D20" s="244" t="e">
        <f>IF($E$6 = "LBC 2012",VLOOKUP(Misafregning!D12,Licensnumre!$C:$J,3,FALSE),0)</f>
        <v>#N/A</v>
      </c>
      <c r="E20" s="245" t="e">
        <f>IF($E$6 = "LBC 2012",VLOOKUP(Misafregning!E12,Licensnumre!$C:$J,3,FALSE),0)</f>
        <v>#N/A</v>
      </c>
      <c r="F20" s="222"/>
      <c r="G20" s="223"/>
      <c r="H20" s="223"/>
      <c r="I20" s="224"/>
      <c r="J20" s="225">
        <f t="shared" si="1"/>
        <v>0</v>
      </c>
    </row>
    <row r="21" spans="1:10" x14ac:dyDescent="0.35">
      <c r="A21" s="221" t="str">
        <f>IF(Misafregning!A13=0,0,IF($E$6 = "LBC 2012",VLOOKUP(Misafregning!A13,Licensnumre!$C:$J,3,FALSE),0))</f>
        <v>071079-PEJØ</v>
      </c>
      <c r="B21" s="243" t="str">
        <f>IF($E$6 = "LBC 2012",VLOOKUP(Misafregning!A13,Licensnumre!$C:$J,2,FALSE),0)</f>
        <v>Peter Frank Jørgensen</v>
      </c>
      <c r="C21" s="244" t="e">
        <f>IF($E$6 = "LBC 2012",VLOOKUP(Misafregning!C13,Licensnumre!$C:$J,3,FALSE),0)</f>
        <v>#N/A</v>
      </c>
      <c r="D21" s="244" t="e">
        <f>IF($E$6 = "LBC 2012",VLOOKUP(Misafregning!D13,Licensnumre!$C:$J,3,FALSE),0)</f>
        <v>#N/A</v>
      </c>
      <c r="E21" s="245" t="e">
        <f>IF($E$6 = "LBC 2012",VLOOKUP(Misafregning!E13,Licensnumre!$C:$J,3,FALSE),0)</f>
        <v>#N/A</v>
      </c>
      <c r="F21" s="222"/>
      <c r="G21" s="223"/>
      <c r="H21" s="223"/>
      <c r="I21" s="224"/>
      <c r="J21" s="225">
        <f t="shared" si="1"/>
        <v>0</v>
      </c>
    </row>
    <row r="22" spans="1:10" ht="21.75" thickBot="1" x14ac:dyDescent="0.4">
      <c r="A22" s="21" t="s">
        <v>66</v>
      </c>
      <c r="B22" s="251"/>
      <c r="C22" s="252"/>
      <c r="D22" s="252"/>
      <c r="E22" s="253"/>
      <c r="F22" s="144"/>
      <c r="G22" s="145"/>
      <c r="H22" s="145"/>
      <c r="I22" s="146"/>
      <c r="J22" s="24">
        <f t="shared" si="1"/>
        <v>0</v>
      </c>
    </row>
    <row r="23" spans="1:10" x14ac:dyDescent="0.35">
      <c r="A23" s="20" t="s">
        <v>67</v>
      </c>
      <c r="B23" s="258"/>
      <c r="C23" s="259"/>
      <c r="D23" s="259"/>
      <c r="E23" s="259"/>
      <c r="F23" s="26">
        <f>IF(SUM(F18:F22)=0,0,SUM(F18:F22))</f>
        <v>0</v>
      </c>
      <c r="G23" s="17">
        <f>IF(SUM(G18:G22)=0,0,SUM(G18:G22))</f>
        <v>0</v>
      </c>
      <c r="H23" s="17">
        <f>IF(SUM(H18:H22)=0,0,SUM(H18:H22))</f>
        <v>0</v>
      </c>
      <c r="I23" s="150">
        <f>IF(SUM(I18:I22)=0,0,SUM(I18:I22))</f>
        <v>0</v>
      </c>
      <c r="J23" s="23">
        <f t="shared" si="1"/>
        <v>0</v>
      </c>
    </row>
    <row r="24" spans="1:10" ht="21.75" thickBot="1" x14ac:dyDescent="0.4">
      <c r="A24" s="21" t="s">
        <v>68</v>
      </c>
      <c r="B24" s="260"/>
      <c r="C24" s="261"/>
      <c r="D24" s="261"/>
      <c r="E24" s="261"/>
      <c r="F24" s="27">
        <f>IF(F23=0,0,IF(F23&gt;F14,2,IF(F23=F14,1,0)))</f>
        <v>0</v>
      </c>
      <c r="G24" s="19">
        <f>IF(G23=0,0,IF(G23&gt;G14,2,IF(G23=G14,1,0)))</f>
        <v>0</v>
      </c>
      <c r="H24" s="19">
        <f>IF(H23=0,0,IF(H23&gt;H14,2,IF(H23=H14,1,0)))</f>
        <v>0</v>
      </c>
      <c r="I24" s="151">
        <f>IF(I23=0,0,IF(I23&gt;I14,2,IF(I23=I14,1,0)))</f>
        <v>0</v>
      </c>
      <c r="J24" s="24">
        <f>IF(J23=0,0,IF(J23&gt;J14,2,IF(J23=J14,1,0)))</f>
        <v>0</v>
      </c>
    </row>
    <row r="30" spans="1:10" x14ac:dyDescent="0.35">
      <c r="A30" s="257" t="str">
        <f>A6</f>
        <v>Politiet IF 2</v>
      </c>
      <c r="B30" s="257"/>
      <c r="D30" s="257" t="str">
        <f>E6</f>
        <v>LBC 2012</v>
      </c>
      <c r="E30" s="257"/>
      <c r="F30" s="257"/>
      <c r="H30" s="257" t="s">
        <v>69</v>
      </c>
      <c r="I30" s="257"/>
      <c r="J30" s="257"/>
    </row>
  </sheetData>
  <sheetProtection sheet="1" objects="1" scenarios="1" selectLockedCells="1"/>
  <mergeCells count="24">
    <mergeCell ref="B13:E13"/>
    <mergeCell ref="B18:E18"/>
    <mergeCell ref="B19:E19"/>
    <mergeCell ref="B20:E20"/>
    <mergeCell ref="H30:J30"/>
    <mergeCell ref="B22:E22"/>
    <mergeCell ref="B17:E17"/>
    <mergeCell ref="A30:B30"/>
    <mergeCell ref="D30:F30"/>
    <mergeCell ref="B23:E24"/>
    <mergeCell ref="B14:E15"/>
    <mergeCell ref="B21:E21"/>
    <mergeCell ref="A1:B1"/>
    <mergeCell ref="A2:B2"/>
    <mergeCell ref="A3:B3"/>
    <mergeCell ref="B12:E12"/>
    <mergeCell ref="C4:J4"/>
    <mergeCell ref="C2:J2"/>
    <mergeCell ref="C1:J1"/>
    <mergeCell ref="C3:J3"/>
    <mergeCell ref="B8:E8"/>
    <mergeCell ref="B9:E9"/>
    <mergeCell ref="B10:E10"/>
    <mergeCell ref="B11:E11"/>
  </mergeCells>
  <pageMargins left="0" right="0" top="0.74803149606299213" bottom="0.74803149606299213" header="0.31496062992125984" footer="0.31496062992125984"/>
  <pageSetup paperSize="9" orientation="portrait" r:id="rId1"/>
  <ignoredErrors>
    <ignoredError sqref="A11:A12 A20:E20 B12:E13 C11:E11 B11 C18:E18 C19:E19 A21" unlockedFormula="1"/>
    <ignoredError sqref="F23:I23 F14:I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Zeros="0" zoomScaleNormal="100" workbookViewId="0">
      <selection activeCell="A9" sqref="A9"/>
    </sheetView>
  </sheetViews>
  <sheetFormatPr defaultColWidth="8.85546875" defaultRowHeight="21" x14ac:dyDescent="0.35"/>
  <cols>
    <col min="1" max="1" width="19.5703125" style="15" customWidth="1"/>
    <col min="2" max="4" width="8.85546875" style="15"/>
    <col min="5" max="5" width="5.85546875" style="15" customWidth="1"/>
    <col min="6" max="6" width="6.7109375" style="15" customWidth="1"/>
    <col min="7" max="7" width="2.5703125" style="15" customWidth="1"/>
    <col min="8" max="8" width="6.7109375" style="15" customWidth="1"/>
    <col min="9" max="9" width="2.28515625" style="15" customWidth="1"/>
    <col min="10" max="10" width="6.7109375" style="15" customWidth="1"/>
    <col min="11" max="11" width="2.28515625" style="15" customWidth="1"/>
    <col min="12" max="12" width="7" style="15" customWidth="1"/>
    <col min="13" max="13" width="2.5703125" style="15" customWidth="1"/>
    <col min="14" max="15" width="8.85546875" style="15"/>
    <col min="16" max="16" width="64.7109375" style="15" customWidth="1"/>
    <col min="17" max="16384" width="8.85546875" style="15"/>
  </cols>
  <sheetData>
    <row r="1" spans="1:14" x14ac:dyDescent="0.35">
      <c r="A1" s="270" t="s">
        <v>51</v>
      </c>
      <c r="B1" s="271"/>
      <c r="C1" s="270" t="s">
        <v>62</v>
      </c>
      <c r="D1" s="274"/>
      <c r="E1" s="274"/>
      <c r="F1" s="274"/>
      <c r="G1" s="274"/>
      <c r="H1" s="274"/>
      <c r="I1" s="274"/>
      <c r="J1" s="274"/>
      <c r="K1" s="274"/>
      <c r="L1" s="274"/>
      <c r="M1" s="271"/>
    </row>
    <row r="2" spans="1:14" ht="16.899999999999999" customHeight="1" thickBot="1" x14ac:dyDescent="0.4">
      <c r="A2" s="272">
        <f>Misafregning!B3</f>
        <v>423009</v>
      </c>
      <c r="B2" s="273"/>
      <c r="C2" s="275" t="str">
        <f>VLOOKUP($A$2,Kampe!$A:$U,19,FALSE)</f>
        <v>DT Herrer Øst 3 Div. B</v>
      </c>
      <c r="D2" s="276"/>
      <c r="E2" s="276"/>
      <c r="F2" s="276"/>
      <c r="G2" s="276"/>
      <c r="H2" s="276"/>
      <c r="I2" s="276"/>
      <c r="J2" s="276"/>
      <c r="K2" s="276"/>
      <c r="L2" s="276"/>
      <c r="M2" s="277"/>
    </row>
    <row r="3" spans="1:14" ht="18.600000000000001" customHeight="1" x14ac:dyDescent="0.35">
      <c r="A3" s="270" t="s">
        <v>99</v>
      </c>
      <c r="B3" s="271"/>
      <c r="C3" s="270" t="s">
        <v>63</v>
      </c>
      <c r="D3" s="274"/>
      <c r="E3" s="274"/>
      <c r="F3" s="274"/>
      <c r="G3" s="274"/>
      <c r="H3" s="274"/>
      <c r="I3" s="274"/>
      <c r="J3" s="274"/>
      <c r="K3" s="274"/>
      <c r="L3" s="274"/>
      <c r="M3" s="271"/>
    </row>
    <row r="4" spans="1:14" ht="19.149999999999999" customHeight="1" thickBot="1" x14ac:dyDescent="0.4">
      <c r="A4" s="194">
        <f>VLOOKUP($A$2,Kampe!$A:$V,3,FALSE)</f>
        <v>45220</v>
      </c>
      <c r="B4" s="195">
        <f>VLOOKUP(A2,Kampe!$A:$N,4,FALSE)</f>
        <v>0.5</v>
      </c>
      <c r="C4" s="272" t="str">
        <f>VLOOKUP($A$2,Kampe!$A:$U,5,FALSE)</f>
        <v>Rødovre Bowlinghal</v>
      </c>
      <c r="D4" s="278"/>
      <c r="E4" s="278"/>
      <c r="F4" s="278"/>
      <c r="G4" s="278"/>
      <c r="H4" s="278"/>
      <c r="I4" s="278"/>
      <c r="J4" s="278"/>
      <c r="K4" s="278"/>
      <c r="L4" s="278"/>
      <c r="M4" s="273"/>
    </row>
    <row r="5" spans="1:14" ht="9" customHeight="1" thickBot="1" x14ac:dyDescent="0.4"/>
    <row r="6" spans="1:14" ht="21.75" thickBot="1" x14ac:dyDescent="0.4">
      <c r="A6" s="15" t="str">
        <f>VLOOKUP(A2,Kampe!A:U,20,FALSE)</f>
        <v>Politiet IF 2</v>
      </c>
      <c r="B6" s="180"/>
      <c r="C6" s="22" t="s">
        <v>65</v>
      </c>
      <c r="D6" s="180"/>
      <c r="E6" s="297" t="str">
        <f>VLOOKUP(A2,Kampe!A:U,21,FALSE)</f>
        <v>LBC 2012</v>
      </c>
      <c r="F6" s="298"/>
      <c r="G6" s="298"/>
      <c r="H6" s="298"/>
      <c r="I6" s="298"/>
      <c r="J6" s="298"/>
      <c r="K6" s="298"/>
      <c r="L6" s="298"/>
    </row>
    <row r="7" spans="1:14" ht="7.15" customHeight="1" thickBot="1" x14ac:dyDescent="0.4"/>
    <row r="8" spans="1:14" s="30" customFormat="1" ht="16.899999999999999" customHeight="1" thickBot="1" x14ac:dyDescent="0.3">
      <c r="A8" s="28"/>
      <c r="B8" s="279" t="str">
        <f>A6</f>
        <v>Politiet IF 2</v>
      </c>
      <c r="C8" s="280"/>
      <c r="D8" s="280"/>
      <c r="E8" s="281"/>
      <c r="F8" s="29">
        <v>1</v>
      </c>
      <c r="G8" s="29"/>
      <c r="H8" s="29">
        <v>2</v>
      </c>
      <c r="I8" s="29"/>
      <c r="J8" s="29">
        <v>3</v>
      </c>
      <c r="K8" s="29"/>
      <c r="L8" s="29">
        <v>4</v>
      </c>
      <c r="M8" s="29"/>
      <c r="N8" s="29" t="s">
        <v>16</v>
      </c>
    </row>
    <row r="9" spans="1:14" s="30" customFormat="1" ht="16.899999999999999" customHeight="1" x14ac:dyDescent="0.3">
      <c r="A9" s="199">
        <f>IF($A$6="LBC 2012",VLOOKUP(Misafregning!A10,Licensnumre!$C:$G,3),0)</f>
        <v>0</v>
      </c>
      <c r="B9" s="264">
        <f>IF($A$6="LBC 2012",VLOOKUP(Misafregning!$A$10,Licensnumre!$C:$G,2),0)</f>
        <v>0</v>
      </c>
      <c r="C9" s="265" t="e">
        <f>IF($E$6 = "LBC 2012",VLOOKUP(Misafregning!#REF!,Licensnumre!$C:$J,3,FALSE),0)</f>
        <v>#REF!</v>
      </c>
      <c r="D9" s="265" t="e">
        <f>IF($E$6 = "LBC 2012",VLOOKUP(Misafregning!#REF!,Licensnumre!$C:$J,3,FALSE),0)</f>
        <v>#REF!</v>
      </c>
      <c r="E9" s="266" t="e">
        <f>IF($E$6 = "LBC 2012",VLOOKUP(Misafregning!#REF!,Licensnumre!$C:$J,3,FALSE),0)</f>
        <v>#REF!</v>
      </c>
      <c r="F9" s="133"/>
      <c r="G9" s="62">
        <v>1</v>
      </c>
      <c r="H9" s="75"/>
      <c r="I9" s="62">
        <v>1</v>
      </c>
      <c r="J9" s="75"/>
      <c r="K9" s="62">
        <v>1</v>
      </c>
      <c r="L9" s="75"/>
      <c r="M9" s="64">
        <v>1</v>
      </c>
      <c r="N9" s="44">
        <f t="shared" ref="N9:N23" si="0">SUM(F9+H9+J9+L9)</f>
        <v>0</v>
      </c>
    </row>
    <row r="10" spans="1:14" s="30" customFormat="1" ht="16.899999999999999" customHeight="1" x14ac:dyDescent="0.25">
      <c r="A10" s="158">
        <f>IF($A$6="LBC 2012",VLOOKUP(Misafregning!A11,Licensnumre!$C:$G,3),0)</f>
        <v>0</v>
      </c>
      <c r="B10" s="282">
        <f>IF(Misafregning!A11=0,0,IF($A$6 = "LBC 2012",VLOOKUP(Misafregning!A11,Licensnumre!$C:$J,2,FALSE),0))</f>
        <v>0</v>
      </c>
      <c r="C10" s="283"/>
      <c r="D10" s="283"/>
      <c r="E10" s="284"/>
      <c r="F10" s="134"/>
      <c r="G10" s="63">
        <v>1</v>
      </c>
      <c r="H10" s="76"/>
      <c r="I10" s="63">
        <v>1</v>
      </c>
      <c r="J10" s="76"/>
      <c r="K10" s="63">
        <v>1</v>
      </c>
      <c r="L10" s="76"/>
      <c r="M10" s="65">
        <v>1</v>
      </c>
      <c r="N10" s="46">
        <f t="shared" si="0"/>
        <v>0</v>
      </c>
    </row>
    <row r="11" spans="1:14" s="30" customFormat="1" ht="16.899999999999999" customHeight="1" x14ac:dyDescent="0.25">
      <c r="A11" s="158">
        <f>IF($A$6="LBC 2012",VLOOKUP(Misafregning!A12,Licensnumre!$C:$G,3),0)</f>
        <v>0</v>
      </c>
      <c r="B11" s="282">
        <f>IF(Misafregning!A12=0,0,IF($A$6 = "LBC 2012",VLOOKUP(Misafregning!A12,Licensnumre!$C:$J,2,FALSE),0))</f>
        <v>0</v>
      </c>
      <c r="C11" s="283"/>
      <c r="D11" s="283"/>
      <c r="E11" s="284"/>
      <c r="F11" s="134"/>
      <c r="G11" s="63">
        <v>1</v>
      </c>
      <c r="H11" s="76"/>
      <c r="I11" s="63">
        <v>1</v>
      </c>
      <c r="J11" s="76"/>
      <c r="K11" s="63">
        <v>1</v>
      </c>
      <c r="L11" s="76"/>
      <c r="M11" s="65">
        <v>1</v>
      </c>
      <c r="N11" s="46">
        <f t="shared" si="0"/>
        <v>0</v>
      </c>
    </row>
    <row r="12" spans="1:14" s="30" customFormat="1" ht="16.899999999999999" customHeight="1" x14ac:dyDescent="0.25">
      <c r="A12" s="158">
        <f>IF($A$6="LBC 2012",VLOOKUP(Misafregning!A13,Licensnumre!$C:$G,3),0)</f>
        <v>0</v>
      </c>
      <c r="B12" s="282">
        <f>IF(Misafregning!A13=0,0,IF($A$6 = "LBC 2012",VLOOKUP(Misafregning!A13,Licensnumre!$C:$J,2,FALSE),0))</f>
        <v>0</v>
      </c>
      <c r="C12" s="283"/>
      <c r="D12" s="283"/>
      <c r="E12" s="284"/>
      <c r="F12" s="134"/>
      <c r="G12" s="63">
        <v>2</v>
      </c>
      <c r="H12" s="76"/>
      <c r="I12" s="63">
        <v>2</v>
      </c>
      <c r="J12" s="76"/>
      <c r="K12" s="63">
        <v>2</v>
      </c>
      <c r="L12" s="76"/>
      <c r="M12" s="65">
        <v>2</v>
      </c>
      <c r="N12" s="46">
        <f t="shared" si="0"/>
        <v>0</v>
      </c>
    </row>
    <row r="13" spans="1:14" s="30" customFormat="1" ht="16.899999999999999" customHeight="1" x14ac:dyDescent="0.25">
      <c r="A13" s="158">
        <f>IF($A$6="LBC 2012",VLOOKUP(Misafregning!A14,Licensnumre!$C:$G,3),0)</f>
        <v>0</v>
      </c>
      <c r="B13" s="282">
        <f>IF(Misafregning!A14=0,0,IF($A$6 = "LBC 2012",VLOOKUP(Misafregning!A14,Licensnumre!$C:$J,2,FALSE),0))</f>
        <v>0</v>
      </c>
      <c r="C13" s="283">
        <f>IF(Misafregning!C14=0,0,IF($A$6 = "LBC 2012",VLOOKUP(Misafregning!C14,Licensnumre!$C:$J,3,FALSE),0))</f>
        <v>0</v>
      </c>
      <c r="D13" s="283">
        <f>IF(Misafregning!D14=0,0,IF($A$6 = "LBC 2012",VLOOKUP(Misafregning!D14,Licensnumre!$C:$J,3,FALSE),0))</f>
        <v>0</v>
      </c>
      <c r="E13" s="284">
        <f>IF(Misafregning!E14=0,0,IF($A$6 = "LBC 2012",VLOOKUP(Misafregning!E14,Licensnumre!$C:$J,3,FALSE),0))</f>
        <v>0</v>
      </c>
      <c r="F13" s="134"/>
      <c r="G13" s="63">
        <v>2</v>
      </c>
      <c r="H13" s="76"/>
      <c r="I13" s="63">
        <v>2</v>
      </c>
      <c r="J13" s="76"/>
      <c r="K13" s="63">
        <v>2</v>
      </c>
      <c r="L13" s="76"/>
      <c r="M13" s="65">
        <v>2</v>
      </c>
      <c r="N13" s="46">
        <f t="shared" si="0"/>
        <v>0</v>
      </c>
    </row>
    <row r="14" spans="1:14" s="30" customFormat="1" ht="16.899999999999999" customHeight="1" x14ac:dyDescent="0.25">
      <c r="A14" s="158">
        <f>IF($A$6="LBC 2012",VLOOKUP(Misafregning!A15,Licensnumre!$C:$G,3),0)</f>
        <v>0</v>
      </c>
      <c r="B14" s="282">
        <f>IF(Misafregning!A15=0,0,IF($A$6 = "LBC 2012",VLOOKUP(Misafregning!A15,Licensnumre!$C:$J,2,FALSE),0))</f>
        <v>0</v>
      </c>
      <c r="C14" s="283">
        <f>IF(Misafregning!C15=0,0,IF($A$6 = "LBC 2012",VLOOKUP(Misafregning!C15,Licensnumre!$C:$J,3,FALSE),0))</f>
        <v>0</v>
      </c>
      <c r="D14" s="283">
        <f>IF(Misafregning!D15=0,0,IF($A$6 = "LBC 2012",VLOOKUP(Misafregning!D15,Licensnumre!$C:$J,3,FALSE),0))</f>
        <v>0</v>
      </c>
      <c r="E14" s="284">
        <f>IF(Misafregning!E15=0,0,IF($A$6 = "LBC 2012",VLOOKUP(Misafregning!E15,Licensnumre!$C:$J,3,FALSE),0))</f>
        <v>0</v>
      </c>
      <c r="F14" s="134"/>
      <c r="G14" s="63">
        <v>2</v>
      </c>
      <c r="H14" s="76"/>
      <c r="I14" s="63">
        <v>2</v>
      </c>
      <c r="J14" s="76"/>
      <c r="K14" s="63">
        <v>2</v>
      </c>
      <c r="L14" s="76"/>
      <c r="M14" s="65">
        <v>2</v>
      </c>
      <c r="N14" s="46">
        <f t="shared" si="0"/>
        <v>0</v>
      </c>
    </row>
    <row r="15" spans="1:14" s="30" customFormat="1" ht="16.899999999999999" customHeight="1" x14ac:dyDescent="0.25">
      <c r="A15" s="158">
        <f>IF($A$6="LBC 2012",VLOOKUP(Misafregning!A16,Licensnumre!$C:$G,3),0)</f>
        <v>0</v>
      </c>
      <c r="B15" s="282">
        <f>IF(Misafregning!A16=0,0,IF($A$6 = "LBC 2012",VLOOKUP(Misafregning!A16,Licensnumre!$C:$J,2,FALSE),0))</f>
        <v>0</v>
      </c>
      <c r="C15" s="283">
        <f>IF(Misafregning!C16=0,0,IF($A$6 = "LBC 2012",VLOOKUP(Misafregning!C16,Licensnumre!$C:$J,3,FALSE),0))</f>
        <v>0</v>
      </c>
      <c r="D15" s="283">
        <f>IF(Misafregning!D16=0,0,IF($A$6 = "LBC 2012",VLOOKUP(Misafregning!D16,Licensnumre!$C:$J,3,FALSE),0))</f>
        <v>0</v>
      </c>
      <c r="E15" s="284">
        <f>IF(Misafregning!E16=0,0,IF($A$6 = "LBC 2012",VLOOKUP(Misafregning!E16,Licensnumre!$C:$J,3,FALSE),0))</f>
        <v>0</v>
      </c>
      <c r="F15" s="135"/>
      <c r="G15" s="79"/>
      <c r="H15" s="77"/>
      <c r="I15" s="79"/>
      <c r="J15" s="77"/>
      <c r="K15" s="79"/>
      <c r="L15" s="77"/>
      <c r="M15" s="81"/>
      <c r="N15" s="46">
        <f t="shared" si="0"/>
        <v>0</v>
      </c>
    </row>
    <row r="16" spans="1:14" s="30" customFormat="1" ht="16.899999999999999" customHeight="1" thickBot="1" x14ac:dyDescent="0.3">
      <c r="A16" s="49" t="s">
        <v>66</v>
      </c>
      <c r="B16" s="285"/>
      <c r="C16" s="286"/>
      <c r="D16" s="286"/>
      <c r="E16" s="287"/>
      <c r="F16" s="136"/>
      <c r="G16" s="80"/>
      <c r="H16" s="78"/>
      <c r="I16" s="80"/>
      <c r="J16" s="78"/>
      <c r="K16" s="80"/>
      <c r="L16" s="78"/>
      <c r="M16" s="82"/>
      <c r="N16" s="53">
        <f t="shared" si="0"/>
        <v>0</v>
      </c>
    </row>
    <row r="17" spans="1:19" s="30" customFormat="1" ht="16.899999999999999" customHeight="1" x14ac:dyDescent="0.25">
      <c r="A17" s="132" t="s">
        <v>85</v>
      </c>
      <c r="B17" s="291"/>
      <c r="C17" s="292"/>
      <c r="D17" s="292"/>
      <c r="E17" s="292"/>
      <c r="F17" s="72">
        <f>SUMIF(G9:G16,1,F9:F16)</f>
        <v>0</v>
      </c>
      <c r="G17" s="73"/>
      <c r="H17" s="73">
        <f>SUMIF(I9:I16,1,H9:H16)</f>
        <v>0</v>
      </c>
      <c r="I17" s="73"/>
      <c r="J17" s="73">
        <f>SUMIF(K9:K16,1,J9:J16)</f>
        <v>0</v>
      </c>
      <c r="K17" s="73"/>
      <c r="L17" s="73">
        <f>SUMIF(M9:M16,1,L9:L16)</f>
        <v>0</v>
      </c>
      <c r="M17" s="74"/>
      <c r="N17" s="44">
        <f t="shared" si="0"/>
        <v>0</v>
      </c>
    </row>
    <row r="18" spans="1:19" s="30" customFormat="1" ht="16.899999999999999" customHeight="1" x14ac:dyDescent="0.25">
      <c r="A18" s="45" t="s">
        <v>86</v>
      </c>
      <c r="B18" s="267"/>
      <c r="C18" s="268"/>
      <c r="D18" s="268"/>
      <c r="E18" s="268"/>
      <c r="F18" s="33">
        <f>SUMIF(G9:G16,2,F9:F16)</f>
        <v>0</v>
      </c>
      <c r="G18" s="36"/>
      <c r="H18" s="36">
        <f>SUMIF(I9:I16,2,H9:H16)</f>
        <v>0</v>
      </c>
      <c r="I18" s="36"/>
      <c r="J18" s="36">
        <f>SUMIF(K9:K16,2,J9:J16)</f>
        <v>0</v>
      </c>
      <c r="K18" s="36"/>
      <c r="L18" s="36">
        <f>SUMIF(M9:M16,2,L9:L16)</f>
        <v>0</v>
      </c>
      <c r="M18" s="55"/>
      <c r="N18" s="46">
        <f t="shared" si="0"/>
        <v>0</v>
      </c>
    </row>
    <row r="19" spans="1:19" s="30" customFormat="1" ht="16.899999999999999" customHeight="1" thickBot="1" x14ac:dyDescent="0.3">
      <c r="A19" s="47" t="s">
        <v>87</v>
      </c>
      <c r="B19" s="293"/>
      <c r="C19" s="294"/>
      <c r="D19" s="294"/>
      <c r="E19" s="294"/>
      <c r="F19" s="38">
        <f>F17+F18</f>
        <v>0</v>
      </c>
      <c r="G19" s="39"/>
      <c r="H19" s="39">
        <f>H17+H18</f>
        <v>0</v>
      </c>
      <c r="I19" s="39"/>
      <c r="J19" s="39">
        <f>J17+J18</f>
        <v>0</v>
      </c>
      <c r="K19" s="39"/>
      <c r="L19" s="39">
        <f>L17+L18</f>
        <v>0</v>
      </c>
      <c r="M19" s="56"/>
      <c r="N19" s="48">
        <f t="shared" si="0"/>
        <v>0</v>
      </c>
    </row>
    <row r="20" spans="1:19" s="30" customFormat="1" ht="16.899999999999999" customHeight="1" x14ac:dyDescent="0.25">
      <c r="A20" s="41" t="s">
        <v>88</v>
      </c>
      <c r="B20" s="295"/>
      <c r="C20" s="296"/>
      <c r="D20" s="296"/>
      <c r="E20" s="296"/>
      <c r="F20" s="31">
        <f>IF(F17 = 0,0,IF(F17 &gt;F34,2,IF(F17 =F34,1,0)))</f>
        <v>0</v>
      </c>
      <c r="G20" s="42"/>
      <c r="H20" s="42">
        <f>IF(H17 = 0,0,IF(H17 &gt;H34,2,IF(H17 =H34,1,0)))</f>
        <v>0</v>
      </c>
      <c r="I20" s="42"/>
      <c r="J20" s="42">
        <f>IF(J17 = 0,0,IF(J17 &gt;J34,2,IF(J17 =J34,1,0)))</f>
        <v>0</v>
      </c>
      <c r="K20" s="42"/>
      <c r="L20" s="42">
        <f>IF(L17 = 0,0,IF(L17 &gt;L34,2,IF(L17 =L34,1,0)))</f>
        <v>0</v>
      </c>
      <c r="M20" s="57"/>
      <c r="N20" s="44">
        <f t="shared" si="0"/>
        <v>0</v>
      </c>
    </row>
    <row r="21" spans="1:19" s="30" customFormat="1" ht="16.899999999999999" customHeight="1" x14ac:dyDescent="0.25">
      <c r="A21" s="45" t="s">
        <v>89</v>
      </c>
      <c r="B21" s="267"/>
      <c r="C21" s="268"/>
      <c r="D21" s="268"/>
      <c r="E21" s="268"/>
      <c r="F21" s="33">
        <f>IF(F18 = 0,0,IF(F18 &gt;F35,2,IF(F18 =F35,1,0)))</f>
        <v>0</v>
      </c>
      <c r="G21" s="36"/>
      <c r="H21" s="36">
        <f>IF(H18 = 0,0,IF(H18 &gt;H35,2,IF(H18 =H35,1,0)))</f>
        <v>0</v>
      </c>
      <c r="I21" s="36"/>
      <c r="J21" s="36">
        <f>IF(J18 = 0,0,IF(J18 &gt;J35,2,IF(J18 =J35,1,0)))</f>
        <v>0</v>
      </c>
      <c r="K21" s="36"/>
      <c r="L21" s="36">
        <f>IF(L18 = 0,0,IF(L18 &gt;L35,2,IF(L18 =L35,1,0)))</f>
        <v>0</v>
      </c>
      <c r="M21" s="55"/>
      <c r="N21" s="46">
        <f t="shared" si="0"/>
        <v>0</v>
      </c>
    </row>
    <row r="22" spans="1:19" s="30" customFormat="1" ht="16.899999999999999" customHeight="1" x14ac:dyDescent="0.25">
      <c r="A22" s="47" t="s">
        <v>97</v>
      </c>
      <c r="B22" s="267"/>
      <c r="C22" s="268"/>
      <c r="D22" s="268"/>
      <c r="E22" s="269"/>
      <c r="F22" s="33">
        <f>IF(F19 = 0,0,IF(F19 &gt;F36,2,IF(F19 =F36,1,0)))</f>
        <v>0</v>
      </c>
      <c r="G22" s="39"/>
      <c r="H22" s="36">
        <f>IF(H19 = 0,0,IF(H19 &gt;H36,2,IF(H19 =H36,1,0)))</f>
        <v>0</v>
      </c>
      <c r="I22" s="39"/>
      <c r="J22" s="36">
        <f>IF(J19 = 0,0,IF(J19 &gt;J36,2,IF(J19 =J36,1,0)))</f>
        <v>0</v>
      </c>
      <c r="K22" s="39"/>
      <c r="L22" s="36">
        <f>IF(L19 = 0,0,IF(L19 &gt;L36,2,IF(L19 =L36,1,0)))</f>
        <v>0</v>
      </c>
      <c r="M22" s="56"/>
      <c r="N22" s="46">
        <f t="shared" si="0"/>
        <v>0</v>
      </c>
    </row>
    <row r="23" spans="1:19" s="30" customFormat="1" ht="16.899999999999999" customHeight="1" thickBot="1" x14ac:dyDescent="0.3">
      <c r="A23" s="49" t="s">
        <v>90</v>
      </c>
      <c r="B23" s="293"/>
      <c r="C23" s="294"/>
      <c r="D23" s="294"/>
      <c r="E23" s="294"/>
      <c r="F23" s="50">
        <f>F20+F21+F22</f>
        <v>0</v>
      </c>
      <c r="G23" s="51"/>
      <c r="H23" s="51">
        <f>H20+H21+H22</f>
        <v>0</v>
      </c>
      <c r="I23" s="51"/>
      <c r="J23" s="51">
        <f>J20+J21+J22</f>
        <v>0</v>
      </c>
      <c r="K23" s="51"/>
      <c r="L23" s="51">
        <f>L20+L21+L22</f>
        <v>0</v>
      </c>
      <c r="M23" s="58"/>
      <c r="N23" s="53">
        <f t="shared" si="0"/>
        <v>0</v>
      </c>
    </row>
    <row r="24" spans="1:19" ht="10.9" customHeight="1" thickBot="1" x14ac:dyDescent="0.4">
      <c r="A24" s="299"/>
      <c r="B24" s="299"/>
      <c r="C24" s="299"/>
      <c r="D24" s="299"/>
      <c r="E24" s="299"/>
      <c r="F24" s="261"/>
      <c r="G24" s="261"/>
      <c r="H24" s="261"/>
      <c r="I24" s="261"/>
      <c r="J24" s="261"/>
      <c r="K24" s="261"/>
      <c r="L24" s="261"/>
      <c r="M24" s="261"/>
      <c r="N24" s="261"/>
    </row>
    <row r="25" spans="1:19" s="30" customFormat="1" ht="16.899999999999999" customHeight="1" thickBot="1" x14ac:dyDescent="0.4">
      <c r="A25" s="28"/>
      <c r="B25" s="279" t="str">
        <f>E6</f>
        <v>LBC 2012</v>
      </c>
      <c r="C25" s="280"/>
      <c r="D25" s="280"/>
      <c r="E25" s="281"/>
      <c r="F25" s="29">
        <v>1</v>
      </c>
      <c r="G25" s="29"/>
      <c r="H25" s="29">
        <v>2</v>
      </c>
      <c r="I25" s="29"/>
      <c r="J25" s="29">
        <v>3</v>
      </c>
      <c r="K25" s="29"/>
      <c r="L25" s="29">
        <v>4</v>
      </c>
      <c r="M25" s="29"/>
      <c r="N25" s="29" t="s">
        <v>16</v>
      </c>
      <c r="P25" s="15"/>
      <c r="Q25" s="15"/>
      <c r="R25" s="15"/>
      <c r="S25" s="15"/>
    </row>
    <row r="26" spans="1:19" s="30" customFormat="1" ht="16.899999999999999" customHeight="1" x14ac:dyDescent="0.35">
      <c r="A26" s="200" t="str">
        <f>IF($E$6="LBC 2012",VLOOKUP(Misafregning!$A$10,Licensnumre!C:G,3),0)</f>
        <v>180161-KEKR</v>
      </c>
      <c r="B26" s="288" t="str">
        <f>IF(Misafregning!A8=0,0,IF($E$6 = "LBC 2012",VLOOKUP(Misafregning!A10,Licensnumre!$C:$J,2,FALSE),0))</f>
        <v>Kent Kraa</v>
      </c>
      <c r="C26" s="289"/>
      <c r="D26" s="289"/>
      <c r="E26" s="290"/>
      <c r="F26" s="133"/>
      <c r="G26" s="62">
        <v>1</v>
      </c>
      <c r="H26" s="75"/>
      <c r="I26" s="62">
        <v>2</v>
      </c>
      <c r="J26" s="75"/>
      <c r="K26" s="62">
        <v>1</v>
      </c>
      <c r="L26" s="75"/>
      <c r="M26" s="64">
        <v>2</v>
      </c>
      <c r="N26" s="44">
        <f t="shared" ref="N26:N38" si="1">SUM(F26+H26+J26+L26)</f>
        <v>0</v>
      </c>
      <c r="P26" s="15"/>
      <c r="Q26" s="15"/>
      <c r="R26" s="15"/>
      <c r="S26" s="15"/>
    </row>
    <row r="27" spans="1:19" s="30" customFormat="1" ht="16.899999999999999" customHeight="1" x14ac:dyDescent="0.35">
      <c r="A27" s="160" t="str">
        <f>IF(Misafregning!A9=0,0,IF($E$6 = "LBC 2012",VLOOKUP(Misafregning!A11,Licensnumre!$C:$J,3,FALSE),0))</f>
        <v>030582-LAJØ</v>
      </c>
      <c r="B27" s="288" t="str">
        <f>IF(Misafregning!A9=0,0,IF($E$6 = "LBC 2012",VLOOKUP(Misafregning!A11,Licensnumre!$C:$J,2,FALSE),0))</f>
        <v>Lars Nicki Dybvik Jørgensen</v>
      </c>
      <c r="C27" s="289"/>
      <c r="D27" s="289"/>
      <c r="E27" s="290"/>
      <c r="F27" s="134"/>
      <c r="G27" s="63">
        <v>1</v>
      </c>
      <c r="H27" s="76"/>
      <c r="I27" s="63">
        <v>2</v>
      </c>
      <c r="J27" s="76"/>
      <c r="K27" s="63">
        <v>1</v>
      </c>
      <c r="L27" s="76"/>
      <c r="M27" s="65">
        <v>2</v>
      </c>
      <c r="N27" s="46">
        <f t="shared" si="1"/>
        <v>0</v>
      </c>
      <c r="P27" s="15"/>
      <c r="Q27" s="15"/>
      <c r="R27" s="15"/>
      <c r="S27" s="15"/>
    </row>
    <row r="28" spans="1:19" s="30" customFormat="1" ht="16.899999999999999" customHeight="1" x14ac:dyDescent="0.35">
      <c r="A28" s="160" t="str">
        <f>IF(Misafregning!A10=0,0,IF($E$6 = "LBC 2012",VLOOKUP(Misafregning!A12,Licensnumre!$C:$J,3,FALSE),0))</f>
        <v>090260-JEHA</v>
      </c>
      <c r="B28" s="288" t="str">
        <f>IF(Misafregning!A10=0,0,IF($E$6 = "LBC 2012",VLOOKUP(Misafregning!A12,Licensnumre!$C:$J,2,FALSE),0))</f>
        <v>Jens Christian Hansen</v>
      </c>
      <c r="C28" s="289"/>
      <c r="D28" s="289"/>
      <c r="E28" s="290"/>
      <c r="F28" s="134"/>
      <c r="G28" s="63">
        <v>1</v>
      </c>
      <c r="H28" s="76"/>
      <c r="I28" s="63">
        <v>2</v>
      </c>
      <c r="J28" s="76"/>
      <c r="K28" s="63">
        <v>1</v>
      </c>
      <c r="L28" s="76"/>
      <c r="M28" s="65">
        <v>2</v>
      </c>
      <c r="N28" s="46">
        <f t="shared" si="1"/>
        <v>0</v>
      </c>
      <c r="P28" s="15"/>
      <c r="Q28" s="15"/>
      <c r="R28" s="15"/>
      <c r="S28" s="15"/>
    </row>
    <row r="29" spans="1:19" s="30" customFormat="1" ht="16.899999999999999" customHeight="1" x14ac:dyDescent="0.35">
      <c r="A29" s="160" t="str">
        <f>IF(Misafregning!A11=0,0,IF($E$6 = "LBC 2012",VLOOKUP(Misafregning!A13,Licensnumre!$C:$J,3,FALSE),0))</f>
        <v>071079-PEJØ</v>
      </c>
      <c r="B29" s="288" t="str">
        <f>IF(Misafregning!A11=0,0,IF($E$6 = "LBC 2012",VLOOKUP(Misafregning!A13,Licensnumre!$C:$J,2,FALSE),0))</f>
        <v>Peter Frank Jørgensen</v>
      </c>
      <c r="C29" s="289"/>
      <c r="D29" s="289"/>
      <c r="E29" s="290"/>
      <c r="F29" s="134"/>
      <c r="G29" s="63">
        <v>2</v>
      </c>
      <c r="H29" s="76"/>
      <c r="I29" s="63">
        <v>1</v>
      </c>
      <c r="J29" s="76"/>
      <c r="K29" s="63">
        <v>2</v>
      </c>
      <c r="L29" s="76"/>
      <c r="M29" s="65">
        <v>1</v>
      </c>
      <c r="N29" s="46">
        <f t="shared" si="1"/>
        <v>0</v>
      </c>
      <c r="P29" s="15"/>
      <c r="Q29" s="15"/>
      <c r="R29" s="15"/>
      <c r="S29" s="15"/>
    </row>
    <row r="30" spans="1:19" s="30" customFormat="1" ht="16.899999999999999" customHeight="1" x14ac:dyDescent="0.35">
      <c r="A30" s="128" t="str">
        <f>IF(Misafregning!A14=0,0,IF($E$6 = "LBC 2012",VLOOKUP(Misafregning!A14,Licensnumre!$C:$J,3,FALSE),0))</f>
        <v>081050-OLJA</v>
      </c>
      <c r="B30" s="288" t="str">
        <f>IF(Misafregning!A12=0,0,IF($E$6 = "LBC 2012",VLOOKUP(Misafregning!A14,Licensnumre!$C:$J,2,FALSE),0))</f>
        <v>Ole Jacobsen</v>
      </c>
      <c r="C30" s="289"/>
      <c r="D30" s="289"/>
      <c r="E30" s="290"/>
      <c r="F30" s="134"/>
      <c r="G30" s="63">
        <v>2</v>
      </c>
      <c r="H30" s="76"/>
      <c r="I30" s="63">
        <v>1</v>
      </c>
      <c r="J30" s="76"/>
      <c r="K30" s="63">
        <v>2</v>
      </c>
      <c r="L30" s="76"/>
      <c r="M30" s="65">
        <v>1</v>
      </c>
      <c r="N30" s="46">
        <f t="shared" si="1"/>
        <v>0</v>
      </c>
      <c r="P30" s="15"/>
      <c r="Q30" s="15"/>
      <c r="R30" s="15"/>
      <c r="S30" s="15"/>
    </row>
    <row r="31" spans="1:19" s="30" customFormat="1" ht="16.899999999999999" customHeight="1" x14ac:dyDescent="0.25">
      <c r="A31" s="128" t="str">
        <f>IF(Misafregning!A15=0,0,IF($E$6 = "LBC 2012",VLOOKUP(Misafregning!A15,Licensnumre!$C:$J,3,FALSE),0))</f>
        <v>280668-JEJE</v>
      </c>
      <c r="B31" s="288" t="str">
        <f>IF(Misafregning!A15=0,0,IF($E$6 = "LBC 2012",VLOOKUP(Misafregning!A15,Licensnumre!$C:$J,2,FALSE),0))</f>
        <v>Jens Jensen</v>
      </c>
      <c r="C31" s="289">
        <f>IF(Misafregning!C32=0,0,IF($A$6 = "LBC 2012",VLOOKUP(Misafregning!C32,Licensnumre!$C:$J,3,FALSE),0))</f>
        <v>0</v>
      </c>
      <c r="D31" s="289">
        <f>IF(Misafregning!D32=0,0,IF($A$6 = "LBC 2012",VLOOKUP(Misafregning!D32,Licensnumre!$C:$J,3,FALSE),0))</f>
        <v>0</v>
      </c>
      <c r="E31" s="290">
        <f>IF(Misafregning!E32=0,0,IF($A$6 = "LBC 2012",VLOOKUP(Misafregning!E32,Licensnumre!$C:$J,3,FALSE),0))</f>
        <v>0</v>
      </c>
      <c r="F31" s="134"/>
      <c r="G31" s="63">
        <v>2</v>
      </c>
      <c r="H31" s="76"/>
      <c r="I31" s="63">
        <v>1</v>
      </c>
      <c r="J31" s="76"/>
      <c r="K31" s="63">
        <v>2</v>
      </c>
      <c r="L31" s="76"/>
      <c r="M31" s="65">
        <v>1</v>
      </c>
      <c r="N31" s="46">
        <f t="shared" si="1"/>
        <v>0</v>
      </c>
    </row>
    <row r="32" spans="1:19" s="30" customFormat="1" ht="16.899999999999999" customHeight="1" x14ac:dyDescent="0.25">
      <c r="A32" s="128" t="str">
        <f>IF(Misafregning!A16=0,0,IF($E$6 = "LBC 2012",VLOOKUP(Misafregning!A16,Licensnumre!$C:$J,3,FALSE),0))</f>
        <v>240570-LECH</v>
      </c>
      <c r="B32" s="288" t="str">
        <f>IF(Misafregning!A16=0,0,IF($E$6 = "LBC 2012",VLOOKUP(Misafregning!A16,Licensnumre!$C:$J,2,FALSE),0))</f>
        <v>Lena Christensen</v>
      </c>
      <c r="C32" s="289">
        <f>IF(Misafregning!C33=0,0,IF($A$6 = "LBC 2012",VLOOKUP(Misafregning!C33,Licensnumre!$C:$J,3,FALSE),0))</f>
        <v>0</v>
      </c>
      <c r="D32" s="289">
        <f>IF(Misafregning!D33=0,0,IF($A$6 = "LBC 2012",VLOOKUP(Misafregning!D33,Licensnumre!$C:$J,3,FALSE),0))</f>
        <v>0</v>
      </c>
      <c r="E32" s="290">
        <f>IF(Misafregning!E33=0,0,IF($A$6 = "LBC 2012",VLOOKUP(Misafregning!E33,Licensnumre!$C:$J,3,FALSE),0))</f>
        <v>0</v>
      </c>
      <c r="F32" s="135"/>
      <c r="G32" s="79"/>
      <c r="H32" s="77"/>
      <c r="I32" s="79"/>
      <c r="J32" s="77"/>
      <c r="K32" s="79"/>
      <c r="L32" s="77"/>
      <c r="M32" s="81"/>
      <c r="N32" s="46">
        <f t="shared" si="1"/>
        <v>0</v>
      </c>
    </row>
    <row r="33" spans="1:14" s="30" customFormat="1" ht="16.899999999999999" customHeight="1" thickBot="1" x14ac:dyDescent="0.3">
      <c r="A33" s="49" t="s">
        <v>66</v>
      </c>
      <c r="B33" s="300"/>
      <c r="C33" s="301"/>
      <c r="D33" s="301"/>
      <c r="E33" s="302"/>
      <c r="F33" s="159"/>
      <c r="G33" s="83"/>
      <c r="H33" s="84"/>
      <c r="I33" s="83"/>
      <c r="J33" s="84"/>
      <c r="K33" s="83"/>
      <c r="L33" s="84"/>
      <c r="M33" s="85"/>
      <c r="N33" s="53">
        <f t="shared" si="1"/>
        <v>0</v>
      </c>
    </row>
    <row r="34" spans="1:14" s="30" customFormat="1" ht="16.899999999999999" customHeight="1" x14ac:dyDescent="0.25">
      <c r="A34" s="132" t="s">
        <v>85</v>
      </c>
      <c r="B34" s="291"/>
      <c r="C34" s="292"/>
      <c r="D34" s="292"/>
      <c r="E34" s="292"/>
      <c r="F34" s="31">
        <f>SUMIF(G26:G33,1,F26:F33)</f>
        <v>0</v>
      </c>
      <c r="G34" s="42"/>
      <c r="H34" s="42">
        <f>SUMIF(I26:I33,1,H26:H33)</f>
        <v>0</v>
      </c>
      <c r="I34" s="42"/>
      <c r="J34" s="42">
        <f>SUMIF(K26:K33,1,J26:J33)</f>
        <v>0</v>
      </c>
      <c r="K34" s="42"/>
      <c r="L34" s="42">
        <f>SUMIF(M26:M33,1,L26:L33)</f>
        <v>0</v>
      </c>
      <c r="M34" s="43"/>
      <c r="N34" s="44">
        <f t="shared" si="1"/>
        <v>0</v>
      </c>
    </row>
    <row r="35" spans="1:14" s="30" customFormat="1" ht="16.899999999999999" customHeight="1" x14ac:dyDescent="0.25">
      <c r="A35" s="45" t="s">
        <v>86</v>
      </c>
      <c r="B35" s="267"/>
      <c r="C35" s="268"/>
      <c r="D35" s="268"/>
      <c r="E35" s="268"/>
      <c r="F35" s="33">
        <f>SUMIF(G26:G33,2,F26:F33)</f>
        <v>0</v>
      </c>
      <c r="G35" s="36"/>
      <c r="H35" s="36">
        <f>SUMIF(I26:I33,2,H26:H33)</f>
        <v>0</v>
      </c>
      <c r="I35" s="36"/>
      <c r="J35" s="36">
        <f>SUMIF(K26:K33,2,J26:J33)</f>
        <v>0</v>
      </c>
      <c r="K35" s="36"/>
      <c r="L35" s="36">
        <f>SUMIF(M26:M33,2,L26:L33)</f>
        <v>0</v>
      </c>
      <c r="M35" s="37"/>
      <c r="N35" s="46">
        <f t="shared" si="1"/>
        <v>0</v>
      </c>
    </row>
    <row r="36" spans="1:14" s="30" customFormat="1" ht="16.899999999999999" customHeight="1" thickBot="1" x14ac:dyDescent="0.3">
      <c r="A36" s="47" t="s">
        <v>87</v>
      </c>
      <c r="B36" s="293"/>
      <c r="C36" s="294"/>
      <c r="D36" s="294"/>
      <c r="E36" s="294"/>
      <c r="F36" s="38">
        <f>F34+F35</f>
        <v>0</v>
      </c>
      <c r="G36" s="39"/>
      <c r="H36" s="39">
        <f>H34+H35</f>
        <v>0</v>
      </c>
      <c r="I36" s="39"/>
      <c r="J36" s="39">
        <f>J34+J35</f>
        <v>0</v>
      </c>
      <c r="K36" s="39"/>
      <c r="L36" s="39">
        <f>L34+L35</f>
        <v>0</v>
      </c>
      <c r="M36" s="40"/>
      <c r="N36" s="53">
        <f t="shared" si="1"/>
        <v>0</v>
      </c>
    </row>
    <row r="37" spans="1:14" s="30" customFormat="1" ht="16.899999999999999" customHeight="1" x14ac:dyDescent="0.25">
      <c r="A37" s="41" t="s">
        <v>88</v>
      </c>
      <c r="B37" s="295"/>
      <c r="C37" s="296"/>
      <c r="D37" s="296"/>
      <c r="E37" s="296"/>
      <c r="F37" s="31">
        <f>IF(F34=0,0,IF(F34&gt;F17,2,IF(F34=F17,1,0)))</f>
        <v>0</v>
      </c>
      <c r="G37" s="42"/>
      <c r="H37" s="42">
        <f>IF(H34=0,0,IF(H34&gt;H17,2,IF(H34=H17,1,0)))</f>
        <v>0</v>
      </c>
      <c r="I37" s="42"/>
      <c r="J37" s="42">
        <f>IF(J34=0,0,IF(J34&gt;J17,2,IF(J34=J17,1,0)))</f>
        <v>0</v>
      </c>
      <c r="K37" s="42"/>
      <c r="L37" s="42">
        <f>IF(L34=0,0,IF(L34&gt;L17,2,IF(L34=L17,1,0)))</f>
        <v>0</v>
      </c>
      <c r="M37" s="43"/>
      <c r="N37" s="32">
        <f t="shared" si="1"/>
        <v>0</v>
      </c>
    </row>
    <row r="38" spans="1:14" s="30" customFormat="1" ht="16.899999999999999" customHeight="1" x14ac:dyDescent="0.25">
      <c r="A38" s="45" t="s">
        <v>89</v>
      </c>
      <c r="B38" s="267"/>
      <c r="C38" s="268"/>
      <c r="D38" s="268"/>
      <c r="E38" s="268"/>
      <c r="F38" s="33">
        <f>IF(F35=0,0,IF(F35&gt;F18,2,IF(F35=F18,1,0)))</f>
        <v>0</v>
      </c>
      <c r="G38" s="36"/>
      <c r="H38" s="36">
        <f>IF(H35=0,0,IF(H35&gt;H18,2,IF(H35=H18,1,0)))</f>
        <v>0</v>
      </c>
      <c r="I38" s="36"/>
      <c r="J38" s="36">
        <f>IF(J35=0,0,IF(J35&gt;J18,2,IF(J35=J18,1,0)))</f>
        <v>0</v>
      </c>
      <c r="K38" s="36"/>
      <c r="L38" s="36">
        <f>IF(L35=0,0,IF(L35&gt;L18,2,IF(L35=L18,1,0)))</f>
        <v>0</v>
      </c>
      <c r="M38" s="37"/>
      <c r="N38" s="34">
        <f t="shared" si="1"/>
        <v>0</v>
      </c>
    </row>
    <row r="39" spans="1:14" s="30" customFormat="1" ht="16.899999999999999" customHeight="1" x14ac:dyDescent="0.25">
      <c r="A39" s="47" t="s">
        <v>97</v>
      </c>
      <c r="B39" s="267"/>
      <c r="C39" s="268"/>
      <c r="D39" s="268"/>
      <c r="E39" s="269"/>
      <c r="F39" s="33">
        <f>IF(F36=0,0,IF(F36&gt;F19,2,IF(F36=F19,1,0)))</f>
        <v>0</v>
      </c>
      <c r="G39" s="39"/>
      <c r="H39" s="36">
        <f>IF(H36=0,0,IF(H36&gt;H19,2,IF(H36=H19,1,0)))</f>
        <v>0</v>
      </c>
      <c r="I39" s="39"/>
      <c r="J39" s="36">
        <f>IF(J36=0,0,IF(J36&gt;J19,2,IF(J36=J19,1,0)))</f>
        <v>0</v>
      </c>
      <c r="K39" s="39"/>
      <c r="L39" s="36">
        <f>IF(L36=0,0,IF(L36&gt;L19,2,IF(L36=L19,1,0)))</f>
        <v>0</v>
      </c>
      <c r="M39" s="40"/>
      <c r="N39" s="35"/>
    </row>
    <row r="40" spans="1:14" s="30" customFormat="1" ht="16.899999999999999" customHeight="1" thickBot="1" x14ac:dyDescent="0.3">
      <c r="A40" s="49" t="s">
        <v>90</v>
      </c>
      <c r="B40" s="293"/>
      <c r="C40" s="294"/>
      <c r="D40" s="294"/>
      <c r="E40" s="294"/>
      <c r="F40" s="50">
        <f>F37+F38+F39</f>
        <v>0</v>
      </c>
      <c r="G40" s="51"/>
      <c r="H40" s="51">
        <f>H37+H38+H39</f>
        <v>0</v>
      </c>
      <c r="I40" s="51"/>
      <c r="J40" s="51">
        <f>J37+J38+J39</f>
        <v>0</v>
      </c>
      <c r="K40" s="51"/>
      <c r="L40" s="51">
        <f>L37+L38+L39</f>
        <v>0</v>
      </c>
      <c r="M40" s="52"/>
      <c r="N40" s="59">
        <f>SUM(F40+H40+J40+L40)</f>
        <v>0</v>
      </c>
    </row>
    <row r="43" spans="1:14" x14ac:dyDescent="0.35">
      <c r="A43" s="257" t="str">
        <f>A6</f>
        <v>Politiet IF 2</v>
      </c>
      <c r="B43" s="257"/>
      <c r="D43" s="257" t="str">
        <f>E6</f>
        <v>LBC 2012</v>
      </c>
      <c r="E43" s="257"/>
      <c r="F43" s="257"/>
      <c r="G43" s="54"/>
      <c r="J43" s="257" t="s">
        <v>69</v>
      </c>
      <c r="K43" s="257"/>
      <c r="L43" s="257"/>
      <c r="M43" s="257"/>
      <c r="N43" s="257"/>
    </row>
  </sheetData>
  <sheetProtection sheet="1" objects="1" scenarios="1" selectLockedCells="1"/>
  <mergeCells count="44">
    <mergeCell ref="E6:L6"/>
    <mergeCell ref="B40:E40"/>
    <mergeCell ref="A43:B43"/>
    <mergeCell ref="D43:F43"/>
    <mergeCell ref="J43:N43"/>
    <mergeCell ref="A24:N24"/>
    <mergeCell ref="B38:E38"/>
    <mergeCell ref="B34:E34"/>
    <mergeCell ref="B35:E35"/>
    <mergeCell ref="B36:E36"/>
    <mergeCell ref="B37:E37"/>
    <mergeCell ref="B29:E29"/>
    <mergeCell ref="B30:E30"/>
    <mergeCell ref="B31:E31"/>
    <mergeCell ref="B32:E32"/>
    <mergeCell ref="B33:E33"/>
    <mergeCell ref="B15:E15"/>
    <mergeCell ref="B14:E14"/>
    <mergeCell ref="B27:E27"/>
    <mergeCell ref="B28:E28"/>
    <mergeCell ref="B17:E17"/>
    <mergeCell ref="B26:E26"/>
    <mergeCell ref="B23:E23"/>
    <mergeCell ref="B25:E25"/>
    <mergeCell ref="B18:E18"/>
    <mergeCell ref="B19:E19"/>
    <mergeCell ref="B20:E20"/>
    <mergeCell ref="B21:E21"/>
    <mergeCell ref="B9:E9"/>
    <mergeCell ref="B22:E22"/>
    <mergeCell ref="B39:E39"/>
    <mergeCell ref="A1:B1"/>
    <mergeCell ref="A2:B2"/>
    <mergeCell ref="A3:B3"/>
    <mergeCell ref="C1:M1"/>
    <mergeCell ref="C2:M2"/>
    <mergeCell ref="C3:M3"/>
    <mergeCell ref="C4:M4"/>
    <mergeCell ref="B8:E8"/>
    <mergeCell ref="B10:E10"/>
    <mergeCell ref="B11:E11"/>
    <mergeCell ref="B12:E12"/>
    <mergeCell ref="B16:E16"/>
    <mergeCell ref="B13:E13"/>
  </mergeCells>
  <pageMargins left="0" right="0" top="0.74803149606299213" bottom="0.74803149606299213" header="0.31496062992125984" footer="0.31496062992125984"/>
  <pageSetup paperSize="9" orientation="portrait" r:id="rId1"/>
  <ignoredErrors>
    <ignoredError sqref="A31:E33 A16 B12:E15 B10 B11 C16:E16 A3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Zeros="0" zoomScaleNormal="100" workbookViewId="0">
      <selection activeCell="A9" sqref="A9"/>
    </sheetView>
  </sheetViews>
  <sheetFormatPr defaultColWidth="8.85546875" defaultRowHeight="15" customHeight="1" x14ac:dyDescent="0.35"/>
  <cols>
    <col min="1" max="1" width="15.7109375" style="15" customWidth="1"/>
    <col min="2" max="2" width="8.85546875" style="15"/>
    <col min="3" max="3" width="3.7109375" style="15" customWidth="1"/>
    <col min="4" max="4" width="8.85546875" style="15" customWidth="1"/>
    <col min="5" max="5" width="5.7109375" style="15" customWidth="1"/>
    <col min="6" max="6" width="6.28515625" style="15" customWidth="1"/>
    <col min="7" max="7" width="2.140625" style="15" customWidth="1"/>
    <col min="8" max="8" width="6.28515625" style="15" customWidth="1"/>
    <col min="9" max="9" width="2.140625" style="15" customWidth="1"/>
    <col min="10" max="10" width="6.28515625" style="15" customWidth="1"/>
    <col min="11" max="11" width="2.140625" style="15" customWidth="1"/>
    <col min="12" max="12" width="6.28515625" style="15" customWidth="1"/>
    <col min="13" max="13" width="2.140625" style="15" customWidth="1"/>
    <col min="14" max="14" width="6.28515625" style="15" customWidth="1"/>
    <col min="15" max="15" width="2.140625" style="15" customWidth="1"/>
    <col min="16" max="16" width="6.28515625" style="15" customWidth="1"/>
    <col min="17" max="17" width="2.140625" style="15" customWidth="1"/>
    <col min="18" max="18" width="6.7109375" style="15" customWidth="1"/>
    <col min="19" max="16384" width="8.85546875" style="15"/>
  </cols>
  <sheetData>
    <row r="1" spans="1:18" ht="15" customHeight="1" x14ac:dyDescent="0.35">
      <c r="A1" s="330" t="s">
        <v>51</v>
      </c>
      <c r="B1" s="331"/>
      <c r="C1" s="332"/>
      <c r="D1" s="330" t="s">
        <v>62</v>
      </c>
      <c r="E1" s="331"/>
      <c r="F1" s="331"/>
      <c r="G1" s="331"/>
      <c r="H1" s="331"/>
      <c r="I1" s="331"/>
      <c r="J1" s="331"/>
      <c r="K1" s="331"/>
      <c r="L1" s="331"/>
      <c r="M1" s="331"/>
      <c r="N1" s="332"/>
    </row>
    <row r="2" spans="1:18" ht="15" customHeight="1" thickBot="1" x14ac:dyDescent="0.4">
      <c r="A2" s="333">
        <f>Misafregning!B3</f>
        <v>423009</v>
      </c>
      <c r="B2" s="334"/>
      <c r="C2" s="335"/>
      <c r="D2" s="339" t="str">
        <f>VLOOKUP($A$2,Kampe!$A:$U,19,FALSE)</f>
        <v>DT Herrer Øst 3 Div. B</v>
      </c>
      <c r="E2" s="340"/>
      <c r="F2" s="340"/>
      <c r="G2" s="340"/>
      <c r="H2" s="340"/>
      <c r="I2" s="340"/>
      <c r="J2" s="340"/>
      <c r="K2" s="340"/>
      <c r="L2" s="340"/>
      <c r="M2" s="340"/>
      <c r="N2" s="341"/>
    </row>
    <row r="3" spans="1:18" ht="15" customHeight="1" x14ac:dyDescent="0.35">
      <c r="A3" s="336" t="s">
        <v>98</v>
      </c>
      <c r="B3" s="337"/>
      <c r="C3" s="338"/>
      <c r="D3" s="331" t="s">
        <v>63</v>
      </c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8" ht="15" customHeight="1" thickBot="1" x14ac:dyDescent="0.4">
      <c r="A4" s="196">
        <f>VLOOKUP($A$2,Kampe!$A:$V,3,FALSE)</f>
        <v>45220</v>
      </c>
      <c r="B4" s="198">
        <f>VLOOKUP(A2,Kampe!$A:$N,4,FALSE)</f>
        <v>0.5</v>
      </c>
      <c r="C4" s="197"/>
      <c r="D4" s="340" t="str">
        <f>VLOOKUP($A$2,Kampe!$A:$U,5,FALSE)</f>
        <v>Rødovre Bowlinghal</v>
      </c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8" ht="9" customHeight="1" thickBot="1" x14ac:dyDescent="0.4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ht="22.15" customHeight="1" thickBot="1" x14ac:dyDescent="0.4">
      <c r="A6" s="86" t="str">
        <f>VLOOKUP(A2,Kampe!A:U,20,FALSE)</f>
        <v>Politiet IF 2</v>
      </c>
      <c r="B6" s="181"/>
      <c r="C6" s="87" t="s">
        <v>65</v>
      </c>
      <c r="D6" s="181"/>
      <c r="E6" s="86" t="str">
        <f>VLOOKUP(A2,Kampe!A:U,21,FALSE)</f>
        <v>LBC 2012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9" customHeight="1" thickBot="1" x14ac:dyDescent="0.4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18" s="30" customFormat="1" ht="15" customHeight="1" thickBot="1" x14ac:dyDescent="0.3">
      <c r="A8" s="88"/>
      <c r="B8" s="319" t="str">
        <f>A6</f>
        <v>Politiet IF 2</v>
      </c>
      <c r="C8" s="320"/>
      <c r="D8" s="320"/>
      <c r="E8" s="320"/>
      <c r="F8" s="89">
        <v>1</v>
      </c>
      <c r="G8" s="90"/>
      <c r="H8" s="90">
        <v>2</v>
      </c>
      <c r="I8" s="90"/>
      <c r="J8" s="90">
        <v>3</v>
      </c>
      <c r="K8" s="90"/>
      <c r="L8" s="90">
        <v>4</v>
      </c>
      <c r="M8" s="90"/>
      <c r="N8" s="90">
        <v>5</v>
      </c>
      <c r="O8" s="90"/>
      <c r="P8" s="90">
        <v>6</v>
      </c>
      <c r="Q8" s="91"/>
      <c r="R8" s="92" t="s">
        <v>16</v>
      </c>
    </row>
    <row r="9" spans="1:18" s="30" customFormat="1" ht="15" customHeight="1" x14ac:dyDescent="0.25">
      <c r="A9" s="200">
        <f>IF($A$6="LBC 2012",VLOOKUP(Misafregning!$A$10,Licensnumre!$C:$G,3),0)</f>
        <v>0</v>
      </c>
      <c r="B9" s="254">
        <f>IF($A$6="LBC 2012",VLOOKUP(Misafregning!$A$10,Licensnumre!$C:$G,2),0)</f>
        <v>0</v>
      </c>
      <c r="C9" s="255" t="e">
        <f>IF($E$6 = "LBC 2012",VLOOKUP(Misafregning!#REF!,Licensnumre!$C:$J,3,FALSE),0)</f>
        <v>#REF!</v>
      </c>
      <c r="D9" s="255" t="e">
        <f>IF($E$6 = "LBC 2012",VLOOKUP(Misafregning!#REF!,Licensnumre!$C:$J,3,FALSE),0)</f>
        <v>#REF!</v>
      </c>
      <c r="E9" s="256" t="e">
        <f>IF($E$6 = "LBC 2012",VLOOKUP(Misafregning!#REF!,Licensnumre!$C:$J,3,FALSE),0)</f>
        <v>#REF!</v>
      </c>
      <c r="F9" s="125"/>
      <c r="G9" s="93">
        <v>1</v>
      </c>
      <c r="H9" s="93"/>
      <c r="I9" s="93">
        <v>1</v>
      </c>
      <c r="J9" s="93"/>
      <c r="K9" s="93">
        <v>1</v>
      </c>
      <c r="L9" s="93"/>
      <c r="M9" s="93">
        <v>1</v>
      </c>
      <c r="N9" s="93"/>
      <c r="O9" s="93">
        <v>1</v>
      </c>
      <c r="P9" s="93"/>
      <c r="Q9" s="177">
        <v>1</v>
      </c>
      <c r="R9" s="94">
        <f t="shared" ref="R9:R25" si="0">SUM(F9+H9+J9+L9+N9+P9)</f>
        <v>0</v>
      </c>
    </row>
    <row r="10" spans="1:18" s="30" customFormat="1" ht="15" customHeight="1" x14ac:dyDescent="0.25">
      <c r="A10" s="128">
        <f>IF(Misafregning!A11=0,0,IF($A$6 = "LBC 2012",VLOOKUP(Misafregning!A11,Licensnumre!$C:$J,3,FALSE),0))</f>
        <v>0</v>
      </c>
      <c r="B10" s="288">
        <f>IF(Misafregning!A11=0,0,IF($A$6 = "LBC 2012",VLOOKUP(Misafregning!A11,Licensnumre!$C:$J,2,FALSE),0))</f>
        <v>0</v>
      </c>
      <c r="C10" s="289">
        <f>IF(Misafregning!C11=0,0,IF($A$6 = "LBC 2012",VLOOKUP(Misafregning!C11,Licensnumre!$C:$J,3,FALSE),0))</f>
        <v>0</v>
      </c>
      <c r="D10" s="289">
        <f>IF(Misafregning!D11=0,0,IF($A$6 = "LBC 2012",VLOOKUP(Misafregning!D11,Licensnumre!$C:$J,3,FALSE),0))</f>
        <v>0</v>
      </c>
      <c r="E10" s="290">
        <f>IF(Misafregning!E11=0,0,IF($A$6 = "LBC 2012",VLOOKUP(Misafregning!E11,Licensnumre!$C:$J,3,FALSE),0))</f>
        <v>0</v>
      </c>
      <c r="F10" s="126"/>
      <c r="G10" s="95">
        <v>1</v>
      </c>
      <c r="H10" s="95"/>
      <c r="I10" s="95">
        <v>1</v>
      </c>
      <c r="J10" s="95"/>
      <c r="K10" s="95">
        <v>1</v>
      </c>
      <c r="L10" s="95"/>
      <c r="M10" s="95">
        <v>1</v>
      </c>
      <c r="N10" s="95"/>
      <c r="O10" s="95">
        <v>1</v>
      </c>
      <c r="P10" s="95"/>
      <c r="Q10" s="178">
        <v>1</v>
      </c>
      <c r="R10" s="96">
        <f t="shared" si="0"/>
        <v>0</v>
      </c>
    </row>
    <row r="11" spans="1:18" s="30" customFormat="1" ht="15" customHeight="1" x14ac:dyDescent="0.25">
      <c r="A11" s="128">
        <f>IF(Misafregning!A12=0,0,IF($A$6 = "LBC 2012",VLOOKUP(Misafregning!A12,Licensnumre!$C:$J,3,FALSE),0))</f>
        <v>0</v>
      </c>
      <c r="B11" s="288">
        <f>IF(Misafregning!A12=0,0,IF($A$6 = "LBC 2012",VLOOKUP(Misafregning!A12,Licensnumre!$C:$J,2,FALSE),0))</f>
        <v>0</v>
      </c>
      <c r="C11" s="289">
        <f>IF(Misafregning!C12=0,0,IF($A$6 = "LBC 2012",VLOOKUP(Misafregning!C12,Licensnumre!$C:$J,3,FALSE),0))</f>
        <v>0</v>
      </c>
      <c r="D11" s="289">
        <f>IF(Misafregning!D12=0,0,IF($A$6 = "LBC 2012",VLOOKUP(Misafregning!D12,Licensnumre!$C:$J,3,FALSE),0))</f>
        <v>0</v>
      </c>
      <c r="E11" s="290">
        <f>IF(Misafregning!E12=0,0,IF($A$6 = "LBC 2012",VLOOKUP(Misafregning!E12,Licensnumre!$C:$J,3,FALSE),0))</f>
        <v>0</v>
      </c>
      <c r="F11" s="126"/>
      <c r="G11" s="95">
        <v>2</v>
      </c>
      <c r="H11" s="95"/>
      <c r="I11" s="95">
        <v>2</v>
      </c>
      <c r="J11" s="95"/>
      <c r="K11" s="95">
        <v>2</v>
      </c>
      <c r="L11" s="95"/>
      <c r="M11" s="95">
        <v>2</v>
      </c>
      <c r="N11" s="95"/>
      <c r="O11" s="95">
        <v>2</v>
      </c>
      <c r="P11" s="95"/>
      <c r="Q11" s="178">
        <v>2</v>
      </c>
      <c r="R11" s="96">
        <f t="shared" si="0"/>
        <v>0</v>
      </c>
    </row>
    <row r="12" spans="1:18" s="30" customFormat="1" ht="15" customHeight="1" x14ac:dyDescent="0.25">
      <c r="A12" s="128">
        <f>IF(Misafregning!A13=0,0,IF($A$6 = "LBC 2012",VLOOKUP(Misafregning!A13,Licensnumre!$C:$J,3,FALSE),0))</f>
        <v>0</v>
      </c>
      <c r="B12" s="288">
        <f>IF(Misafregning!A13=0,0,IF($A$6 = "LBC 2012",VLOOKUP(Misafregning!A13,Licensnumre!$C:$J,2,FALSE),0))</f>
        <v>0</v>
      </c>
      <c r="C12" s="289"/>
      <c r="D12" s="289"/>
      <c r="E12" s="290"/>
      <c r="F12" s="126"/>
      <c r="G12" s="95">
        <v>2</v>
      </c>
      <c r="H12" s="95"/>
      <c r="I12" s="95">
        <v>2</v>
      </c>
      <c r="J12" s="95"/>
      <c r="K12" s="95">
        <v>2</v>
      </c>
      <c r="L12" s="95"/>
      <c r="M12" s="95">
        <v>2</v>
      </c>
      <c r="N12" s="95"/>
      <c r="O12" s="95">
        <v>2</v>
      </c>
      <c r="P12" s="95"/>
      <c r="Q12" s="178">
        <v>2</v>
      </c>
      <c r="R12" s="96">
        <f t="shared" si="0"/>
        <v>0</v>
      </c>
    </row>
    <row r="13" spans="1:18" s="30" customFormat="1" ht="15" customHeight="1" x14ac:dyDescent="0.25">
      <c r="A13" s="128">
        <f>IF(Misafregning!A14=0,0,IF($A$6 = "LBC 2012",VLOOKUP(Misafregning!A14,Licensnumre!$C:$J,3,FALSE),0))</f>
        <v>0</v>
      </c>
      <c r="B13" s="288">
        <f>IF(Misafregning!A14=0,0,IF($A$6 = "LBC 2012",VLOOKUP(Misafregning!A14,Licensnumre!$C:$J,2,FALSE),0))</f>
        <v>0</v>
      </c>
      <c r="C13" s="289">
        <f>IF(Misafregning!C14=0,0,IF($A$6 = "LBC 2012",VLOOKUP(Misafregning!C14,Licensnumre!$C:$J,3,FALSE),0))</f>
        <v>0</v>
      </c>
      <c r="D13" s="289">
        <f>IF(Misafregning!D14=0,0,IF($A$6 = "LBC 2012",VLOOKUP(Misafregning!D14,Licensnumre!$C:$J,3,FALSE),0))</f>
        <v>0</v>
      </c>
      <c r="E13" s="290">
        <f>IF(Misafregning!E14=0,0,IF($A$6 = "LBC 2012",VLOOKUP(Misafregning!E14,Licensnumre!$C:$J,3,FALSE),0))</f>
        <v>0</v>
      </c>
      <c r="F13" s="126"/>
      <c r="G13" s="95">
        <v>3</v>
      </c>
      <c r="H13" s="95"/>
      <c r="I13" s="95">
        <v>3</v>
      </c>
      <c r="J13" s="95"/>
      <c r="K13" s="95">
        <v>3</v>
      </c>
      <c r="L13" s="95"/>
      <c r="M13" s="95">
        <v>3</v>
      </c>
      <c r="N13" s="95"/>
      <c r="O13" s="95">
        <v>3</v>
      </c>
      <c r="P13" s="95"/>
      <c r="Q13" s="178">
        <v>3</v>
      </c>
      <c r="R13" s="96">
        <f t="shared" si="0"/>
        <v>0</v>
      </c>
    </row>
    <row r="14" spans="1:18" s="30" customFormat="1" ht="15" customHeight="1" x14ac:dyDescent="0.25">
      <c r="A14" s="128">
        <f>IF(Misafregning!A15=0,0,IF($A$6 = "LBC 2012",VLOOKUP(Misafregning!A15,Licensnumre!$C:$J,3,FALSE),0))</f>
        <v>0</v>
      </c>
      <c r="B14" s="288">
        <f>IF(Misafregning!A15=0,0,IF($A$6 = "LBC 2012",VLOOKUP(Misafregning!A15,Licensnumre!$C:$J,2,FALSE),0))</f>
        <v>0</v>
      </c>
      <c r="C14" s="289">
        <f>IF(Misafregning!C15=0,0,IF($A$6 = "LBC 2012",VLOOKUP(Misafregning!C15,Licensnumre!$C:$J,3,FALSE),0))</f>
        <v>0</v>
      </c>
      <c r="D14" s="289">
        <f>IF(Misafregning!D15=0,0,IF($A$6 = "LBC 2012",VLOOKUP(Misafregning!D15,Licensnumre!$C:$J,3,FALSE),0))</f>
        <v>0</v>
      </c>
      <c r="E14" s="290">
        <f>IF(Misafregning!E15=0,0,IF($A$6 = "LBC 2012",VLOOKUP(Misafregning!E15,Licensnumre!$C:$J,3,FALSE),0))</f>
        <v>0</v>
      </c>
      <c r="F14" s="126"/>
      <c r="G14" s="95">
        <v>3</v>
      </c>
      <c r="H14" s="95"/>
      <c r="I14" s="95">
        <v>3</v>
      </c>
      <c r="J14" s="95"/>
      <c r="K14" s="95">
        <v>3</v>
      </c>
      <c r="L14" s="95"/>
      <c r="M14" s="95">
        <v>3</v>
      </c>
      <c r="N14" s="95"/>
      <c r="O14" s="95">
        <v>3</v>
      </c>
      <c r="P14" s="95"/>
      <c r="Q14" s="178">
        <v>3</v>
      </c>
      <c r="R14" s="96">
        <f t="shared" si="0"/>
        <v>0</v>
      </c>
    </row>
    <row r="15" spans="1:18" s="30" customFormat="1" ht="15" customHeight="1" x14ac:dyDescent="0.25">
      <c r="A15" s="128">
        <f>IF(Misafregning!A16=0,0,IF($A$6 = "LBC 2012",VLOOKUP(Misafregning!A16,Licensnumre!$C:$J,3,FALSE),0))</f>
        <v>0</v>
      </c>
      <c r="B15" s="288">
        <f>IF(Misafregning!A16=0,0,IF($A$6 = "LBC 2012",VLOOKUP(Misafregning!A16,Licensnumre!$C:$J,2,FALSE),0))</f>
        <v>0</v>
      </c>
      <c r="C15" s="289">
        <f>IF(Misafregning!C16=0,0,IF($A$6 = "LBC 2012",VLOOKUP(Misafregning!C16,Licensnumre!$C:$J,3,FALSE),0))</f>
        <v>0</v>
      </c>
      <c r="D15" s="289">
        <f>IF(Misafregning!D16=0,0,IF($A$6 = "LBC 2012",VLOOKUP(Misafregning!D16,Licensnumre!$C:$J,3,FALSE),0))</f>
        <v>0</v>
      </c>
      <c r="E15" s="290">
        <f>IF(Misafregning!E16=0,0,IF($A$6 = "LBC 2012",VLOOKUP(Misafregning!E16,Licensnumre!$C:$J,3,FALSE),0))</f>
        <v>0</v>
      </c>
      <c r="F15" s="12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  <c r="R15" s="96">
        <f t="shared" si="0"/>
        <v>0</v>
      </c>
    </row>
    <row r="16" spans="1:18" s="30" customFormat="1" ht="15" customHeight="1" thickBot="1" x14ac:dyDescent="0.3">
      <c r="A16" s="110" t="s">
        <v>66</v>
      </c>
      <c r="B16" s="311"/>
      <c r="C16" s="312"/>
      <c r="D16" s="312"/>
      <c r="E16" s="313"/>
      <c r="F16" s="129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6"/>
      <c r="R16" s="124">
        <f t="shared" si="0"/>
        <v>0</v>
      </c>
    </row>
    <row r="17" spans="1:18" s="30" customFormat="1" ht="15" customHeight="1" x14ac:dyDescent="0.25">
      <c r="A17" s="137" t="s">
        <v>93</v>
      </c>
      <c r="B17" s="321"/>
      <c r="C17" s="322"/>
      <c r="D17" s="322"/>
      <c r="E17" s="323"/>
      <c r="F17" s="101">
        <f>SUMIF(G9:G16,1,F9:F16)</f>
        <v>0</v>
      </c>
      <c r="G17" s="102"/>
      <c r="H17" s="102">
        <f>SUMIF(I9:I16,1,H9:H16)</f>
        <v>0</v>
      </c>
      <c r="I17" s="102"/>
      <c r="J17" s="102">
        <f>SUMIF(K9:K16,1,J9:J16)</f>
        <v>0</v>
      </c>
      <c r="K17" s="102"/>
      <c r="L17" s="102">
        <f>SUMIF(M9:M16,1,L9:L16)</f>
        <v>0</v>
      </c>
      <c r="M17" s="102"/>
      <c r="N17" s="102">
        <f>SUMIF(O9:O16,1,N9:N16)</f>
        <v>0</v>
      </c>
      <c r="O17" s="102"/>
      <c r="P17" s="102">
        <f>SUMIF(Q9:Q16,1,P9:P16)</f>
        <v>0</v>
      </c>
      <c r="Q17" s="103"/>
      <c r="R17" s="104">
        <f t="shared" si="0"/>
        <v>0</v>
      </c>
    </row>
    <row r="18" spans="1:18" s="30" customFormat="1" ht="15" customHeight="1" x14ac:dyDescent="0.25">
      <c r="A18" s="105" t="s">
        <v>92</v>
      </c>
      <c r="B18" s="324"/>
      <c r="C18" s="325"/>
      <c r="D18" s="325"/>
      <c r="E18" s="326"/>
      <c r="F18" s="60">
        <f>SUMIF(G9:G16,2,F9:F16)</f>
        <v>0</v>
      </c>
      <c r="G18" s="68"/>
      <c r="H18" s="68">
        <f>SUMIF(I9:I16,2,H9:H16)</f>
        <v>0</v>
      </c>
      <c r="I18" s="68"/>
      <c r="J18" s="68">
        <f>SUMIF(K9:K16,2,J9:J16)</f>
        <v>0</v>
      </c>
      <c r="K18" s="68"/>
      <c r="L18" s="68">
        <f>SUMIF(M9:M16,2,L9:L16)</f>
        <v>0</v>
      </c>
      <c r="M18" s="68"/>
      <c r="N18" s="68">
        <f>SUMIF(O9:O16,2,N9:N16)</f>
        <v>0</v>
      </c>
      <c r="O18" s="68"/>
      <c r="P18" s="68">
        <f>SUMIF(Q9:Q16,2,P9:P16)</f>
        <v>0</v>
      </c>
      <c r="Q18" s="70"/>
      <c r="R18" s="106">
        <f t="shared" si="0"/>
        <v>0</v>
      </c>
    </row>
    <row r="19" spans="1:18" s="30" customFormat="1" ht="15" customHeight="1" x14ac:dyDescent="0.25">
      <c r="A19" s="107" t="s">
        <v>91</v>
      </c>
      <c r="B19" s="306"/>
      <c r="C19" s="307"/>
      <c r="D19" s="307"/>
      <c r="E19" s="308"/>
      <c r="F19" s="60">
        <f>SUMIF(G9:G16,3,F9:F16)</f>
        <v>0</v>
      </c>
      <c r="G19" s="68"/>
      <c r="H19" s="68">
        <f>SUMIF(I9:I16,3,H9:H16)</f>
        <v>0</v>
      </c>
      <c r="I19" s="68"/>
      <c r="J19" s="68">
        <f>SUMIF(K9:K16,3,J9:J16)</f>
        <v>0</v>
      </c>
      <c r="K19" s="68"/>
      <c r="L19" s="68">
        <f>SUMIF(M9:M16,3,L9:L16)</f>
        <v>0</v>
      </c>
      <c r="M19" s="68"/>
      <c r="N19" s="68">
        <f>SUMIF(O9:O16,3,N9:N16)</f>
        <v>0</v>
      </c>
      <c r="O19" s="68"/>
      <c r="P19" s="68">
        <f>SUMIF(Q9:Q16,3,P9:P16)</f>
        <v>0</v>
      </c>
      <c r="Q19" s="70"/>
      <c r="R19" s="106">
        <f t="shared" si="0"/>
        <v>0</v>
      </c>
    </row>
    <row r="20" spans="1:18" s="30" customFormat="1" ht="15" customHeight="1" thickBot="1" x14ac:dyDescent="0.3">
      <c r="A20" s="107" t="s">
        <v>87</v>
      </c>
      <c r="B20" s="327"/>
      <c r="C20" s="328"/>
      <c r="D20" s="328"/>
      <c r="E20" s="329"/>
      <c r="F20" s="61">
        <f>F17+F18+F19</f>
        <v>0</v>
      </c>
      <c r="G20" s="69"/>
      <c r="H20" s="69">
        <f>H17+H18+H19</f>
        <v>0</v>
      </c>
      <c r="I20" s="69"/>
      <c r="J20" s="69">
        <f>J17+J18+J19</f>
        <v>0</v>
      </c>
      <c r="K20" s="69"/>
      <c r="L20" s="69">
        <f>L17+L18+L19</f>
        <v>0</v>
      </c>
      <c r="M20" s="69"/>
      <c r="N20" s="69">
        <f>N17+N18+N19</f>
        <v>0</v>
      </c>
      <c r="O20" s="69"/>
      <c r="P20" s="69">
        <f>P17+P18+P19</f>
        <v>0</v>
      </c>
      <c r="Q20" s="71"/>
      <c r="R20" s="108">
        <f t="shared" si="0"/>
        <v>0</v>
      </c>
    </row>
    <row r="21" spans="1:18" s="30" customFormat="1" ht="15" customHeight="1" x14ac:dyDescent="0.25">
      <c r="A21" s="100" t="s">
        <v>94</v>
      </c>
      <c r="B21" s="314"/>
      <c r="C21" s="315"/>
      <c r="D21" s="315"/>
      <c r="E21" s="315"/>
      <c r="F21" s="109">
        <f>IF(F17 = 0,0,IF(F17 &gt;F36,2,IF(F17 =F36,1,0)))</f>
        <v>0</v>
      </c>
      <c r="G21" s="102"/>
      <c r="H21" s="102">
        <f>IF(H17 = 0,0,IF(H17 &gt;H36,2,IF(H17 =H36,1,0)))</f>
        <v>0</v>
      </c>
      <c r="I21" s="102"/>
      <c r="J21" s="102">
        <f>IF(J17 = 0,0,IF(J17 &gt;J36,2,IF(J17 =J36,1,0)))</f>
        <v>0</v>
      </c>
      <c r="K21" s="102"/>
      <c r="L21" s="102">
        <f>IF(L17 = 0,0,IF(L17 &gt;L36,2,IF(L17 =L36,1,0)))</f>
        <v>0</v>
      </c>
      <c r="M21" s="102"/>
      <c r="N21" s="102"/>
      <c r="O21" s="102"/>
      <c r="P21" s="102"/>
      <c r="Q21" s="103"/>
      <c r="R21" s="104">
        <f t="shared" si="0"/>
        <v>0</v>
      </c>
    </row>
    <row r="22" spans="1:18" s="30" customFormat="1" ht="15" customHeight="1" x14ac:dyDescent="0.25">
      <c r="A22" s="105" t="s">
        <v>95</v>
      </c>
      <c r="B22" s="306"/>
      <c r="C22" s="307"/>
      <c r="D22" s="307"/>
      <c r="E22" s="307"/>
      <c r="F22" s="66">
        <f>IF(F18 = 0,0,IF(F18 &gt;F37,2,IF(F18 =F37,1,0)))</f>
        <v>0</v>
      </c>
      <c r="G22" s="68"/>
      <c r="H22" s="68">
        <f>IF(H18 = 0,0,IF(H18 &gt;H37,2,IF(H18 =H37,1,0)))</f>
        <v>0</v>
      </c>
      <c r="I22" s="68"/>
      <c r="J22" s="68">
        <f>IF(J18 = 0,0,IF(J18 &gt;J37,2,IF(J18 =J37,1,0)))</f>
        <v>0</v>
      </c>
      <c r="K22" s="68"/>
      <c r="L22" s="68">
        <f>IF(L18 = 0,0,IF(L18 &gt;L37,2,IF(L18 =L37,1,0)))</f>
        <v>0</v>
      </c>
      <c r="M22" s="68"/>
      <c r="N22" s="68"/>
      <c r="O22" s="68"/>
      <c r="P22" s="68"/>
      <c r="Q22" s="70"/>
      <c r="R22" s="106">
        <f t="shared" si="0"/>
        <v>0</v>
      </c>
    </row>
    <row r="23" spans="1:18" s="30" customFormat="1" ht="15" customHeight="1" x14ac:dyDescent="0.25">
      <c r="A23" s="107" t="s">
        <v>96</v>
      </c>
      <c r="B23" s="306"/>
      <c r="C23" s="307"/>
      <c r="D23" s="307"/>
      <c r="E23" s="308"/>
      <c r="F23" s="66">
        <f>IF(F19 = 0,0,IF(F19 &gt;F38,2,IF(F19 =F38,1,0)))</f>
        <v>0</v>
      </c>
      <c r="G23" s="68"/>
      <c r="H23" s="68">
        <f>IF(H19 = 0,0,IF(H19 &gt;H38,2,IF(H19 =H38,1,0)))</f>
        <v>0</v>
      </c>
      <c r="I23" s="68"/>
      <c r="J23" s="68">
        <f>IF(J19 = 0,0,IF(J19 &gt;J38,2,IF(J19 =J38,1,0)))</f>
        <v>0</v>
      </c>
      <c r="K23" s="68"/>
      <c r="L23" s="68">
        <f>IF(L19 = 0,0,IF(L19 &gt;L38,2,IF(L19 =L38,1,0)))</f>
        <v>0</v>
      </c>
      <c r="M23" s="68"/>
      <c r="N23" s="68">
        <f>IF(N19 = 0,0,IF(N19 &gt;N38,2,IF(N19 =N38,1,0)))</f>
        <v>0</v>
      </c>
      <c r="O23" s="68"/>
      <c r="P23" s="68">
        <f>IF(P19 = 0,0,IF(P19 &gt;P38,2,IF(P19 =P38,1,0)))</f>
        <v>0</v>
      </c>
      <c r="Q23" s="70"/>
      <c r="R23" s="106">
        <f t="shared" si="0"/>
        <v>0</v>
      </c>
    </row>
    <row r="24" spans="1:18" s="30" customFormat="1" ht="15" customHeight="1" x14ac:dyDescent="0.25">
      <c r="A24" s="107" t="s">
        <v>97</v>
      </c>
      <c r="B24" s="306"/>
      <c r="C24" s="307"/>
      <c r="D24" s="307"/>
      <c r="E24" s="308"/>
      <c r="F24" s="66">
        <f>IF(F20 = 0,0,IF(F20 &gt;F39,2,IF(F20 =F39,1,0)))</f>
        <v>0</v>
      </c>
      <c r="G24" s="68"/>
      <c r="H24" s="68">
        <f>IF(H20 = 0,0,IF(H20 &gt;H39,2,IF(H20 =H39,1,0)))</f>
        <v>0</v>
      </c>
      <c r="I24" s="68"/>
      <c r="J24" s="68">
        <f>IF(J20 = 0,0,IF(J20 &gt;J39,2,IF(J20 =J39,1,0)))</f>
        <v>0</v>
      </c>
      <c r="K24" s="68"/>
      <c r="L24" s="68">
        <f>IF(L20 = 0,0,IF(L20 &gt;L39,2,IF(L20 =L39,1,0)))</f>
        <v>0</v>
      </c>
      <c r="M24" s="68"/>
      <c r="N24" s="68">
        <f>IF(N20 = 0,0,IF(N20 &gt;N39,2,IF(N20 =N39,1,0)))</f>
        <v>0</v>
      </c>
      <c r="O24" s="68"/>
      <c r="P24" s="68">
        <f>IF(P20 = 0,0,IF(P20 &gt;P39,2,IF(P20 =P39,1,0)))</f>
        <v>0</v>
      </c>
      <c r="Q24" s="70"/>
      <c r="R24" s="106">
        <f t="shared" si="0"/>
        <v>0</v>
      </c>
    </row>
    <row r="25" spans="1:18" s="30" customFormat="1" ht="15" customHeight="1" thickBot="1" x14ac:dyDescent="0.3">
      <c r="A25" s="110" t="s">
        <v>90</v>
      </c>
      <c r="B25" s="304"/>
      <c r="C25" s="305"/>
      <c r="D25" s="305"/>
      <c r="E25" s="305"/>
      <c r="F25" s="111">
        <f>F21+F22+F23+F24</f>
        <v>0</v>
      </c>
      <c r="G25" s="112"/>
      <c r="H25" s="112">
        <f>H21+H22+H23+H24</f>
        <v>0</v>
      </c>
      <c r="I25" s="112"/>
      <c r="J25" s="112">
        <f>J21+J22+J23+J24</f>
        <v>0</v>
      </c>
      <c r="K25" s="112"/>
      <c r="L25" s="112">
        <f>L21+L22+L23+L24</f>
        <v>0</v>
      </c>
      <c r="M25" s="112"/>
      <c r="N25" s="112">
        <f>N21+N22+N23+N24</f>
        <v>0</v>
      </c>
      <c r="O25" s="112"/>
      <c r="P25" s="112">
        <f>P21+P22+P23+P24</f>
        <v>0</v>
      </c>
      <c r="Q25" s="113"/>
      <c r="R25" s="114">
        <f t="shared" si="0"/>
        <v>0</v>
      </c>
    </row>
    <row r="26" spans="1:18" ht="15" customHeight="1" thickBot="1" x14ac:dyDescent="0.4">
      <c r="A26" s="316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8"/>
    </row>
    <row r="27" spans="1:18" s="30" customFormat="1" ht="15" customHeight="1" thickBot="1" x14ac:dyDescent="0.3">
      <c r="A27" s="88"/>
      <c r="B27" s="319" t="str">
        <f>E6</f>
        <v>LBC 2012</v>
      </c>
      <c r="C27" s="320"/>
      <c r="D27" s="320"/>
      <c r="E27" s="320"/>
      <c r="F27" s="89">
        <v>1</v>
      </c>
      <c r="G27" s="90"/>
      <c r="H27" s="90">
        <v>2</v>
      </c>
      <c r="I27" s="90"/>
      <c r="J27" s="90">
        <v>3</v>
      </c>
      <c r="K27" s="90"/>
      <c r="L27" s="90">
        <v>4</v>
      </c>
      <c r="M27" s="90"/>
      <c r="N27" s="90">
        <v>5</v>
      </c>
      <c r="O27" s="90"/>
      <c r="P27" s="90">
        <v>6</v>
      </c>
      <c r="Q27" s="91"/>
      <c r="R27" s="92" t="s">
        <v>16</v>
      </c>
    </row>
    <row r="28" spans="1:18" s="30" customFormat="1" ht="15" customHeight="1" x14ac:dyDescent="0.25">
      <c r="A28" s="200" t="str">
        <f>IF($E$6="LBC 2012",VLOOKUP(Misafregning!$A$10,Licensnumre!C:G,3),0)</f>
        <v>180161-KEKR</v>
      </c>
      <c r="B28" s="254" t="str">
        <f>IF($E$6="LBC 2012",VLOOKUP(Misafregning!$A$10,Licensnumre!C:G,2),0)</f>
        <v>Kent Kraa</v>
      </c>
      <c r="C28" s="255" t="e">
        <f>IF($E$6 = "LBC 2012",VLOOKUP(Misafregning!C20,Licensnumre!$C:$J,3,FALSE),0)</f>
        <v>#N/A</v>
      </c>
      <c r="D28" s="255" t="e">
        <f>IF($E$6 = "LBC 2012",VLOOKUP(Misafregning!D20,Licensnumre!$C:$J,3,FALSE),0)</f>
        <v>#N/A</v>
      </c>
      <c r="E28" s="256" t="e">
        <f>IF($E$6 = "LBC 2012",VLOOKUP(Misafregning!E20,Licensnumre!$C:$J,3,FALSE),0)</f>
        <v>#N/A</v>
      </c>
      <c r="F28" s="125"/>
      <c r="G28" s="93">
        <v>1</v>
      </c>
      <c r="H28" s="93"/>
      <c r="I28" s="93">
        <v>2</v>
      </c>
      <c r="J28" s="93"/>
      <c r="K28" s="93">
        <v>3</v>
      </c>
      <c r="L28" s="93"/>
      <c r="M28" s="93">
        <v>1</v>
      </c>
      <c r="N28" s="93"/>
      <c r="O28" s="93">
        <v>2</v>
      </c>
      <c r="P28" s="93"/>
      <c r="Q28" s="177">
        <v>3</v>
      </c>
      <c r="R28" s="94">
        <f t="shared" ref="R28:R44" si="1">SUM(F28+H28+J28+L28+N28+P28)</f>
        <v>0</v>
      </c>
    </row>
    <row r="29" spans="1:18" s="30" customFormat="1" ht="15" customHeight="1" x14ac:dyDescent="0.25">
      <c r="A29" s="160" t="str">
        <f>IF(Misafregning!A11=0,0,IF($E$6 = "LBC 2012",VLOOKUP(Misafregning!A11,Licensnumre!$C:$J,3,FALSE),0))</f>
        <v>030582-LAJØ</v>
      </c>
      <c r="B29" s="288" t="str">
        <f>IF(Misafregning!A11=0,0,IF($E$6 = "LBC 2012",VLOOKUP(Misafregning!A11,Licensnumre!$C:$J,2,FALSE),0))</f>
        <v>Lars Nicki Dybvik Jørgensen</v>
      </c>
      <c r="C29" s="289"/>
      <c r="D29" s="289"/>
      <c r="E29" s="290"/>
      <c r="F29" s="126"/>
      <c r="G29" s="95">
        <v>1</v>
      </c>
      <c r="H29" s="95"/>
      <c r="I29" s="95">
        <v>2</v>
      </c>
      <c r="J29" s="95"/>
      <c r="K29" s="95">
        <v>3</v>
      </c>
      <c r="L29" s="95"/>
      <c r="M29" s="95">
        <v>1</v>
      </c>
      <c r="N29" s="95"/>
      <c r="O29" s="95">
        <v>2</v>
      </c>
      <c r="P29" s="95"/>
      <c r="Q29" s="178">
        <v>3</v>
      </c>
      <c r="R29" s="96">
        <f t="shared" si="1"/>
        <v>0</v>
      </c>
    </row>
    <row r="30" spans="1:18" s="30" customFormat="1" ht="15" customHeight="1" x14ac:dyDescent="0.25">
      <c r="A30" s="160" t="str">
        <f>IF(Misafregning!A12=0,0,IF($E$6 = "LBC 2012",VLOOKUP(Misafregning!A12,Licensnumre!$C:$J,3,FALSE),0))</f>
        <v>090260-JEHA</v>
      </c>
      <c r="B30" s="288" t="str">
        <f>IF(Misafregning!A12=0,0,IF($E$6 = "LBC 2012",VLOOKUP(Misafregning!A12,Licensnumre!$C:$J,2,FALSE),0))</f>
        <v>Jens Christian Hansen</v>
      </c>
      <c r="C30" s="289"/>
      <c r="D30" s="289"/>
      <c r="E30" s="290"/>
      <c r="F30" s="126"/>
      <c r="G30" s="95">
        <v>2</v>
      </c>
      <c r="H30" s="95"/>
      <c r="I30" s="95">
        <v>3</v>
      </c>
      <c r="J30" s="95"/>
      <c r="K30" s="95">
        <v>1</v>
      </c>
      <c r="L30" s="95"/>
      <c r="M30" s="95">
        <v>2</v>
      </c>
      <c r="N30" s="95"/>
      <c r="O30" s="95">
        <v>3</v>
      </c>
      <c r="P30" s="95"/>
      <c r="Q30" s="178">
        <v>1</v>
      </c>
      <c r="R30" s="96">
        <f t="shared" si="1"/>
        <v>0</v>
      </c>
    </row>
    <row r="31" spans="1:18" s="30" customFormat="1" ht="15" customHeight="1" x14ac:dyDescent="0.25">
      <c r="A31" s="160" t="str">
        <f>IF(Misafregning!A13=0,0,IF($E$6 = "LBC 2012",VLOOKUP(Misafregning!A13,Licensnumre!$C:$J,3,FALSE),0))</f>
        <v>071079-PEJØ</v>
      </c>
      <c r="B31" s="288" t="str">
        <f>IF(Misafregning!A13=0,0,IF($E$6 = "LBC 2012",VLOOKUP(Misafregning!A13,Licensnumre!$C:$J,2,FALSE),0))</f>
        <v>Peter Frank Jørgensen</v>
      </c>
      <c r="C31" s="289"/>
      <c r="D31" s="289"/>
      <c r="E31" s="290"/>
      <c r="F31" s="126"/>
      <c r="G31" s="95">
        <v>2</v>
      </c>
      <c r="H31" s="95"/>
      <c r="I31" s="95">
        <v>3</v>
      </c>
      <c r="J31" s="95"/>
      <c r="K31" s="95">
        <v>1</v>
      </c>
      <c r="L31" s="95"/>
      <c r="M31" s="95">
        <v>2</v>
      </c>
      <c r="N31" s="95"/>
      <c r="O31" s="95">
        <v>3</v>
      </c>
      <c r="P31" s="95"/>
      <c r="Q31" s="178">
        <v>1</v>
      </c>
      <c r="R31" s="96">
        <f t="shared" si="1"/>
        <v>0</v>
      </c>
    </row>
    <row r="32" spans="1:18" s="30" customFormat="1" ht="15" customHeight="1" x14ac:dyDescent="0.25">
      <c r="A32" s="160" t="str">
        <f>IF(Misafregning!A14=0,0,IF($E$6 = "LBC 2012",VLOOKUP(Misafregning!A14,Licensnumre!$C:$J,3,FALSE),0))</f>
        <v>081050-OLJA</v>
      </c>
      <c r="B32" s="288" t="str">
        <f>IF(Misafregning!A14=0,0,IF($E$6 = "LBC 2012",VLOOKUP(Misafregning!A14,Licensnumre!$C:$J,2,FALSE),0))</f>
        <v>Ole Jacobsen</v>
      </c>
      <c r="C32" s="289"/>
      <c r="D32" s="289"/>
      <c r="E32" s="290"/>
      <c r="F32" s="126"/>
      <c r="G32" s="95">
        <v>3</v>
      </c>
      <c r="H32" s="95"/>
      <c r="I32" s="95">
        <v>1</v>
      </c>
      <c r="J32" s="95"/>
      <c r="K32" s="95">
        <v>2</v>
      </c>
      <c r="L32" s="95"/>
      <c r="M32" s="95">
        <v>3</v>
      </c>
      <c r="N32" s="95"/>
      <c r="O32" s="95">
        <v>1</v>
      </c>
      <c r="P32" s="95"/>
      <c r="Q32" s="178">
        <v>2</v>
      </c>
      <c r="R32" s="96">
        <f t="shared" si="1"/>
        <v>0</v>
      </c>
    </row>
    <row r="33" spans="1:18" s="30" customFormat="1" ht="15" customHeight="1" x14ac:dyDescent="0.25">
      <c r="A33" s="160" t="str">
        <f>IF(Misafregning!A15=0,0,IF($E$6 = "LBC 2012",VLOOKUP(Misafregning!A15,Licensnumre!$C:$J,3,FALSE),0))</f>
        <v>280668-JEJE</v>
      </c>
      <c r="B33" s="288" t="str">
        <f>IF(Misafregning!A15=0,0,IF($E$6 = "LBC 2012",VLOOKUP(Misafregning!A15,Licensnumre!$C:$J,2,FALSE),0))</f>
        <v>Jens Jensen</v>
      </c>
      <c r="C33" s="289"/>
      <c r="D33" s="289"/>
      <c r="E33" s="290"/>
      <c r="F33" s="126"/>
      <c r="G33" s="95">
        <v>3</v>
      </c>
      <c r="H33" s="95"/>
      <c r="I33" s="95">
        <v>1</v>
      </c>
      <c r="J33" s="95"/>
      <c r="K33" s="95">
        <v>2</v>
      </c>
      <c r="L33" s="95"/>
      <c r="M33" s="95">
        <v>3</v>
      </c>
      <c r="N33" s="95"/>
      <c r="O33" s="95">
        <v>1</v>
      </c>
      <c r="P33" s="95"/>
      <c r="Q33" s="178">
        <v>2</v>
      </c>
      <c r="R33" s="96">
        <f t="shared" si="1"/>
        <v>0</v>
      </c>
    </row>
    <row r="34" spans="1:18" s="30" customFormat="1" ht="15" customHeight="1" x14ac:dyDescent="0.25">
      <c r="A34" s="160" t="str">
        <f>IF(Misafregning!A16=0,0,IF($E$6 = "LBC 2012",VLOOKUP(Misafregning!A16,Licensnumre!$C:$J,3,FALSE),0))</f>
        <v>240570-LECH</v>
      </c>
      <c r="B34" s="288" t="str">
        <f>IF(Misafregning!A16=0,0,IF($E$6 = "LBC 2012",VLOOKUP(Misafregning!A16,Licensnumre!$C:$J,2,FALSE),0))</f>
        <v>Lena Christensen</v>
      </c>
      <c r="C34" s="289"/>
      <c r="D34" s="289"/>
      <c r="E34" s="290"/>
      <c r="F34" s="12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96">
        <f t="shared" si="1"/>
        <v>0</v>
      </c>
    </row>
    <row r="35" spans="1:18" s="30" customFormat="1" ht="15" customHeight="1" thickBot="1" x14ac:dyDescent="0.3">
      <c r="A35" s="124" t="s">
        <v>66</v>
      </c>
      <c r="B35" s="311"/>
      <c r="C35" s="312"/>
      <c r="D35" s="312"/>
      <c r="E35" s="313"/>
      <c r="F35" s="129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6"/>
      <c r="R35" s="99">
        <f t="shared" si="1"/>
        <v>0</v>
      </c>
    </row>
    <row r="36" spans="1:18" s="30" customFormat="1" ht="15" customHeight="1" x14ac:dyDescent="0.25">
      <c r="A36" s="100" t="s">
        <v>93</v>
      </c>
      <c r="B36" s="314"/>
      <c r="C36" s="315"/>
      <c r="D36" s="315"/>
      <c r="E36" s="315"/>
      <c r="F36" s="117">
        <f>SUMIF(G28:G35,1,F28:F35)</f>
        <v>0</v>
      </c>
      <c r="G36" s="118"/>
      <c r="H36" s="118">
        <f>SUMIF(I28:I35,1,H28:H35)</f>
        <v>0</v>
      </c>
      <c r="I36" s="118"/>
      <c r="J36" s="118">
        <f>SUMIF(K28:K35,1,J28:J35)</f>
        <v>0</v>
      </c>
      <c r="K36" s="118"/>
      <c r="L36" s="118">
        <f>SUMIF(M28:M35,1,L28:L35)</f>
        <v>0</v>
      </c>
      <c r="M36" s="118"/>
      <c r="N36" s="118">
        <f>SUMIF(O28:O35,1,N28:N35)</f>
        <v>0</v>
      </c>
      <c r="O36" s="118"/>
      <c r="P36" s="118">
        <f>SUMIF(Q28:Q35,1,P28:P35)</f>
        <v>0</v>
      </c>
      <c r="Q36" s="119"/>
      <c r="R36" s="94">
        <f t="shared" si="1"/>
        <v>0</v>
      </c>
    </row>
    <row r="37" spans="1:18" s="30" customFormat="1" ht="15" customHeight="1" x14ac:dyDescent="0.25">
      <c r="A37" s="105" t="s">
        <v>92</v>
      </c>
      <c r="B37" s="306"/>
      <c r="C37" s="307"/>
      <c r="D37" s="307"/>
      <c r="E37" s="307"/>
      <c r="F37" s="66">
        <f>SUMIF(G28:G35,2,F28:F35)</f>
        <v>0</v>
      </c>
      <c r="G37" s="68"/>
      <c r="H37" s="68">
        <f>SUMIF(I28:I35,2,H28:H35)</f>
        <v>0</v>
      </c>
      <c r="I37" s="68"/>
      <c r="J37" s="68">
        <f>SUMIF(K28:K35,2,J28:J35)</f>
        <v>0</v>
      </c>
      <c r="K37" s="68"/>
      <c r="L37" s="68">
        <f>SUMIF(M28:M35,2,L28:L35)</f>
        <v>0</v>
      </c>
      <c r="M37" s="68"/>
      <c r="N37" s="68">
        <f>SUMIF(O28:O35,2,N28:N35)</f>
        <v>0</v>
      </c>
      <c r="O37" s="68"/>
      <c r="P37" s="68">
        <f>SUMIF(Q28:Q35,2,P28:P35)</f>
        <v>0</v>
      </c>
      <c r="Q37" s="120"/>
      <c r="R37" s="96">
        <f t="shared" si="1"/>
        <v>0</v>
      </c>
    </row>
    <row r="38" spans="1:18" s="30" customFormat="1" ht="15" customHeight="1" x14ac:dyDescent="0.25">
      <c r="A38" s="107" t="s">
        <v>91</v>
      </c>
      <c r="B38" s="306"/>
      <c r="C38" s="307"/>
      <c r="D38" s="307"/>
      <c r="E38" s="308"/>
      <c r="F38" s="66">
        <f>SUMIF(G28:G35,3,F28:F35)</f>
        <v>0</v>
      </c>
      <c r="G38" s="68"/>
      <c r="H38" s="68">
        <f>SUMIF(I28:I35,3,H28:H35)</f>
        <v>0</v>
      </c>
      <c r="I38" s="68"/>
      <c r="J38" s="68">
        <f>SUMIF(K28:K35,3,J28:J35)</f>
        <v>0</v>
      </c>
      <c r="K38" s="68"/>
      <c r="L38" s="68">
        <f>SUMIF(M28:M35,3,L28:L35)</f>
        <v>0</v>
      </c>
      <c r="M38" s="68"/>
      <c r="N38" s="68">
        <f>SUMIF(O28:O35,3,N28:N35)</f>
        <v>0</v>
      </c>
      <c r="O38" s="68"/>
      <c r="P38" s="68">
        <f>SUMIF(Q28:Q35,3,P28:P35)</f>
        <v>0</v>
      </c>
      <c r="Q38" s="120"/>
      <c r="R38" s="96">
        <f t="shared" si="1"/>
        <v>0</v>
      </c>
    </row>
    <row r="39" spans="1:18" s="30" customFormat="1" ht="15" customHeight="1" thickBot="1" x14ac:dyDescent="0.3">
      <c r="A39" s="107" t="s">
        <v>87</v>
      </c>
      <c r="B39" s="304"/>
      <c r="C39" s="305"/>
      <c r="D39" s="305"/>
      <c r="E39" s="305"/>
      <c r="F39" s="67">
        <f>F36+F37+F38</f>
        <v>0</v>
      </c>
      <c r="G39" s="69"/>
      <c r="H39" s="69">
        <f>H36+H37+H38</f>
        <v>0</v>
      </c>
      <c r="I39" s="69"/>
      <c r="J39" s="69">
        <f>J36+J37+J38</f>
        <v>0</v>
      </c>
      <c r="K39" s="69"/>
      <c r="L39" s="69">
        <f>L36+L37+L38</f>
        <v>0</v>
      </c>
      <c r="M39" s="69"/>
      <c r="N39" s="69">
        <f>N36+N37+N38</f>
        <v>0</v>
      </c>
      <c r="O39" s="69"/>
      <c r="P39" s="69">
        <f>P36+P37+P38</f>
        <v>0</v>
      </c>
      <c r="Q39" s="121"/>
      <c r="R39" s="99">
        <f t="shared" si="1"/>
        <v>0</v>
      </c>
    </row>
    <row r="40" spans="1:18" s="30" customFormat="1" ht="15" customHeight="1" x14ac:dyDescent="0.25">
      <c r="A40" s="100" t="s">
        <v>94</v>
      </c>
      <c r="B40" s="309"/>
      <c r="C40" s="310"/>
      <c r="D40" s="310"/>
      <c r="E40" s="310"/>
      <c r="F40" s="109">
        <f>IF(F36 = 0,0,IF(F36 &gt;F17,2,IF(F36 =F17,1,0)))</f>
        <v>0</v>
      </c>
      <c r="G40" s="102"/>
      <c r="H40" s="102">
        <f>IF(H36 = 0,0,IF(H36 &gt;H17,2,IF(H36 =H17,1,0)))</f>
        <v>0</v>
      </c>
      <c r="I40" s="102"/>
      <c r="J40" s="102">
        <f>IF(J36 = 0,0,IF(J36 &gt;J17,2,IF(J36 =J17,1,0)))</f>
        <v>0</v>
      </c>
      <c r="K40" s="102"/>
      <c r="L40" s="102">
        <f>IF(L36 = 0,0,IF(L36 &gt;L17,2,IF(L36 =L17,1,0)))</f>
        <v>0</v>
      </c>
      <c r="M40" s="102"/>
      <c r="N40" s="102">
        <f>IF(N36 = 0,0,IF(N36 &gt;N17,2,IF(N36 =N17,1,0)))</f>
        <v>0</v>
      </c>
      <c r="O40" s="102"/>
      <c r="P40" s="102">
        <f>IF(P36 = 0,0,IF(P36 &gt;P17,2,IF(P36 =P17,1,0)))</f>
        <v>0</v>
      </c>
      <c r="Q40" s="122"/>
      <c r="R40" s="94">
        <f t="shared" si="1"/>
        <v>0</v>
      </c>
    </row>
    <row r="41" spans="1:18" s="30" customFormat="1" ht="15" customHeight="1" x14ac:dyDescent="0.25">
      <c r="A41" s="105" t="s">
        <v>95</v>
      </c>
      <c r="B41" s="306"/>
      <c r="C41" s="307"/>
      <c r="D41" s="307"/>
      <c r="E41" s="307"/>
      <c r="F41" s="66">
        <f>IF(F37 = 0,0,IF(F37 &gt;F18,2,IF(F37 =F18,1,0)))</f>
        <v>0</v>
      </c>
      <c r="G41" s="68"/>
      <c r="H41" s="68">
        <f>IF(H37 = 0,0,IF(H37 &gt;H18,2,IF(H37 =H18,1,0)))</f>
        <v>0</v>
      </c>
      <c r="I41" s="68"/>
      <c r="J41" s="68">
        <f>IF(J37 = 0,0,IF(J37 &gt;J18,2,IF(J37 =J18,1,0)))</f>
        <v>0</v>
      </c>
      <c r="K41" s="68"/>
      <c r="L41" s="68">
        <f>IF(L37 = 0,0,IF(L37 &gt;L18,2,IF(L37 =L18,1,0)))</f>
        <v>0</v>
      </c>
      <c r="M41" s="68"/>
      <c r="N41" s="68">
        <f>IF(N37 = 0,0,IF(N37 &gt;N18,2,IF(N37 =N18,1,0)))</f>
        <v>0</v>
      </c>
      <c r="O41" s="68"/>
      <c r="P41" s="68">
        <f>IF(P37 = 0,0,IF(P37 &gt;P18,2,IF(P37 =P18,1,0)))</f>
        <v>0</v>
      </c>
      <c r="Q41" s="120"/>
      <c r="R41" s="96">
        <f t="shared" si="1"/>
        <v>0</v>
      </c>
    </row>
    <row r="42" spans="1:18" ht="15" customHeight="1" x14ac:dyDescent="0.35">
      <c r="A42" s="107" t="s">
        <v>96</v>
      </c>
      <c r="B42" s="306"/>
      <c r="C42" s="307"/>
      <c r="D42" s="307"/>
      <c r="E42" s="308"/>
      <c r="F42" s="66">
        <f>IF(F38 = 0,0,IF(F38 &gt;F19,2,IF(F38 =F19,1,0)))</f>
        <v>0</v>
      </c>
      <c r="G42" s="68"/>
      <c r="H42" s="68">
        <f>IF(H38 = 0,0,IF(H38 &gt;H19,2,IF(H38 =H19,1,0)))</f>
        <v>0</v>
      </c>
      <c r="I42" s="68"/>
      <c r="J42" s="68">
        <f>IF(J38 = 0,0,IF(J38 &gt;J19,2,IF(J38 =J19,1,0)))</f>
        <v>0</v>
      </c>
      <c r="K42" s="68"/>
      <c r="L42" s="68">
        <f>IF(L38 = 0,0,IF(L38 &gt;L19,2,IF(L38 =L19,1,0)))</f>
        <v>0</v>
      </c>
      <c r="M42" s="68"/>
      <c r="N42" s="68">
        <f>IF(N38 = 0,0,IF(N38 &gt;N19,2,IF(N38 =N19,1,0)))</f>
        <v>0</v>
      </c>
      <c r="O42" s="68"/>
      <c r="P42" s="68">
        <f>IF(P38 = 0,0,IF(P38 &gt;P19,2,IF(P38 =P19,1,0)))</f>
        <v>0</v>
      </c>
      <c r="Q42" s="120"/>
      <c r="R42" s="96">
        <f t="shared" si="1"/>
        <v>0</v>
      </c>
    </row>
    <row r="43" spans="1:18" ht="15" customHeight="1" x14ac:dyDescent="0.35">
      <c r="A43" s="107" t="s">
        <v>97</v>
      </c>
      <c r="B43" s="306"/>
      <c r="C43" s="307"/>
      <c r="D43" s="307"/>
      <c r="E43" s="308"/>
      <c r="F43" s="66">
        <f>IF(F39 = 0,0,IF(F39 &gt;F20,2,IF(F39 =F20,1,0)))</f>
        <v>0</v>
      </c>
      <c r="G43" s="68"/>
      <c r="H43" s="68">
        <f>IF(H39 = 0,0,IF(H39 &gt;H20,2,IF(H39 =H20,1,0)))</f>
        <v>0</v>
      </c>
      <c r="I43" s="68"/>
      <c r="J43" s="68">
        <f>IF(J39 = 0,0,IF(J39 &gt;J20,2,IF(J39 =J20,1,0)))</f>
        <v>0</v>
      </c>
      <c r="K43" s="68"/>
      <c r="L43" s="68">
        <f>IF(L39 = 0,0,IF(L39 &gt;L20,2,IF(L39 =L20,1,0)))</f>
        <v>0</v>
      </c>
      <c r="M43" s="68"/>
      <c r="N43" s="68">
        <f>IF(N39 = 0,0,IF(N39 &gt;N20,2,IF(N39 =N20,1,0)))</f>
        <v>0</v>
      </c>
      <c r="O43" s="68"/>
      <c r="P43" s="68">
        <f>IF(P39 = 0,0,IF(P39 &gt;P20,2,IF(P39 =P20,1,0)))</f>
        <v>0</v>
      </c>
      <c r="Q43" s="120"/>
      <c r="R43" s="96">
        <f t="shared" si="1"/>
        <v>0</v>
      </c>
    </row>
    <row r="44" spans="1:18" ht="15" customHeight="1" thickBot="1" x14ac:dyDescent="0.4">
      <c r="A44" s="110" t="s">
        <v>90</v>
      </c>
      <c r="B44" s="304"/>
      <c r="C44" s="305"/>
      <c r="D44" s="305"/>
      <c r="E44" s="305"/>
      <c r="F44" s="111">
        <f>F40+F41+F42+F43</f>
        <v>0</v>
      </c>
      <c r="G44" s="112"/>
      <c r="H44" s="112">
        <f>H40+H41+H42+H43</f>
        <v>0</v>
      </c>
      <c r="I44" s="112"/>
      <c r="J44" s="112">
        <f>J40+J41+J42+J43</f>
        <v>0</v>
      </c>
      <c r="K44" s="112"/>
      <c r="L44" s="112">
        <f>L40+L41+L42+L43</f>
        <v>0</v>
      </c>
      <c r="M44" s="112"/>
      <c r="N44" s="112">
        <f>N40+N41+N42+N43</f>
        <v>0</v>
      </c>
      <c r="O44" s="112"/>
      <c r="P44" s="112">
        <f>P40+P41+P42+P43</f>
        <v>0</v>
      </c>
      <c r="Q44" s="123"/>
      <c r="R44" s="124">
        <f t="shared" si="1"/>
        <v>0</v>
      </c>
    </row>
    <row r="45" spans="1:18" ht="15" customHeight="1" x14ac:dyDescent="0.3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8" ht="15" customHeight="1" x14ac:dyDescent="0.3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15" customHeight="1" x14ac:dyDescent="0.35">
      <c r="A47" s="303" t="str">
        <f>A6</f>
        <v>Politiet IF 2</v>
      </c>
      <c r="B47" s="303"/>
      <c r="C47" s="86"/>
      <c r="D47" s="303" t="str">
        <f>E6</f>
        <v>LBC 2012</v>
      </c>
      <c r="E47" s="303"/>
      <c r="F47" s="303"/>
      <c r="G47" s="303"/>
      <c r="H47" s="303"/>
      <c r="I47" s="86"/>
      <c r="J47" s="303" t="s">
        <v>69</v>
      </c>
      <c r="K47" s="303"/>
      <c r="L47" s="303"/>
      <c r="M47" s="303"/>
      <c r="N47" s="303"/>
      <c r="O47" s="303"/>
      <c r="P47" s="303"/>
      <c r="Q47" s="303"/>
      <c r="R47" s="303"/>
    </row>
    <row r="48" spans="1:18" ht="15" customHeight="1" x14ac:dyDescent="0.3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</sheetData>
  <sheetProtection sheet="1" objects="1" scenarios="1" selectLockedCells="1"/>
  <mergeCells count="47">
    <mergeCell ref="B9:E9"/>
    <mergeCell ref="A1:C1"/>
    <mergeCell ref="A2:C2"/>
    <mergeCell ref="A3:C3"/>
    <mergeCell ref="D1:N1"/>
    <mergeCell ref="D2:N2"/>
    <mergeCell ref="D3:N3"/>
    <mergeCell ref="D4:N4"/>
    <mergeCell ref="B8:E8"/>
    <mergeCell ref="B22:E22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20:E20"/>
    <mergeCell ref="B21:E21"/>
    <mergeCell ref="B33:E33"/>
    <mergeCell ref="B34:E34"/>
    <mergeCell ref="B35:E35"/>
    <mergeCell ref="B36:E36"/>
    <mergeCell ref="B25:E25"/>
    <mergeCell ref="A26:R26"/>
    <mergeCell ref="B27:E27"/>
    <mergeCell ref="B28:E28"/>
    <mergeCell ref="B29:E29"/>
    <mergeCell ref="B30:E30"/>
    <mergeCell ref="J47:R47"/>
    <mergeCell ref="B44:E44"/>
    <mergeCell ref="B19:E19"/>
    <mergeCell ref="B23:E23"/>
    <mergeCell ref="B24:E24"/>
    <mergeCell ref="B42:E42"/>
    <mergeCell ref="B43:E43"/>
    <mergeCell ref="B38:E38"/>
    <mergeCell ref="D47:H47"/>
    <mergeCell ref="B37:E37"/>
    <mergeCell ref="B39:E39"/>
    <mergeCell ref="B40:E40"/>
    <mergeCell ref="B41:E41"/>
    <mergeCell ref="A47:B47"/>
    <mergeCell ref="B31:E31"/>
    <mergeCell ref="B32:E32"/>
  </mergeCells>
  <pageMargins left="0" right="0" top="0.74803149606299213" bottom="0.74803149606299213" header="0.31496062992125984" footer="0.31496062992125984"/>
  <pageSetup paperSize="9" orientation="portrait" r:id="rId1"/>
  <ignoredErrors>
    <ignoredError sqref="A10:E15 A30:E34 A29 C29:E2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Zeros="0" zoomScaleNormal="100" workbookViewId="0">
      <selection activeCell="A9" sqref="A9"/>
    </sheetView>
  </sheetViews>
  <sheetFormatPr defaultColWidth="8.85546875" defaultRowHeight="15" customHeight="1" x14ac:dyDescent="0.35"/>
  <cols>
    <col min="1" max="1" width="15.7109375" style="15" customWidth="1"/>
    <col min="2" max="2" width="8.85546875" style="15"/>
    <col min="3" max="3" width="3.7109375" style="15" customWidth="1"/>
    <col min="4" max="4" width="8.85546875" style="15" customWidth="1"/>
    <col min="5" max="5" width="5.7109375" style="15" customWidth="1"/>
    <col min="6" max="6" width="6.28515625" style="15" customWidth="1"/>
    <col min="7" max="7" width="2.140625" style="15" customWidth="1"/>
    <col min="8" max="8" width="6.28515625" style="15" customWidth="1"/>
    <col min="9" max="9" width="2.140625" style="15" customWidth="1"/>
    <col min="10" max="10" width="6.28515625" style="15" customWidth="1"/>
    <col min="11" max="11" width="2.140625" style="15" customWidth="1"/>
    <col min="12" max="12" width="6.28515625" style="15" customWidth="1"/>
    <col min="13" max="13" width="2.140625" style="15" customWidth="1"/>
    <col min="14" max="14" width="13.5703125" style="15" bestFit="1" customWidth="1"/>
    <col min="15" max="16384" width="8.85546875" style="15"/>
  </cols>
  <sheetData>
    <row r="1" spans="1:14" ht="15" customHeight="1" x14ac:dyDescent="0.35">
      <c r="A1" s="330" t="s">
        <v>51</v>
      </c>
      <c r="B1" s="331"/>
      <c r="C1" s="332"/>
      <c r="D1" s="330" t="s">
        <v>62</v>
      </c>
      <c r="E1" s="331"/>
      <c r="F1" s="331"/>
      <c r="G1" s="331"/>
      <c r="H1" s="331"/>
      <c r="I1" s="331"/>
      <c r="J1" s="331"/>
      <c r="K1" s="331"/>
      <c r="L1" s="331"/>
      <c r="M1" s="332"/>
    </row>
    <row r="2" spans="1:14" ht="15" customHeight="1" thickBot="1" x14ac:dyDescent="0.4">
      <c r="A2" s="339">
        <f>Misafregning!B3</f>
        <v>423009</v>
      </c>
      <c r="B2" s="340"/>
      <c r="C2" s="341"/>
      <c r="D2" s="339" t="str">
        <f>VLOOKUP($A$2,Kampe!$A:$U,19,FALSE)</f>
        <v>DT Herrer Øst 3 Div. B</v>
      </c>
      <c r="E2" s="340"/>
      <c r="F2" s="340"/>
      <c r="G2" s="340"/>
      <c r="H2" s="340"/>
      <c r="I2" s="340"/>
      <c r="J2" s="340"/>
      <c r="K2" s="340"/>
      <c r="L2" s="340"/>
      <c r="M2" s="341"/>
    </row>
    <row r="3" spans="1:14" ht="15" customHeight="1" x14ac:dyDescent="0.35">
      <c r="A3" s="336" t="s">
        <v>98</v>
      </c>
      <c r="B3" s="337"/>
      <c r="C3" s="338"/>
      <c r="D3" s="330" t="s">
        <v>63</v>
      </c>
      <c r="E3" s="331"/>
      <c r="F3" s="331"/>
      <c r="G3" s="331"/>
      <c r="H3" s="331"/>
      <c r="I3" s="331"/>
      <c r="J3" s="331"/>
      <c r="K3" s="331"/>
      <c r="L3" s="331"/>
      <c r="M3" s="332"/>
    </row>
    <row r="4" spans="1:14" ht="15" customHeight="1" thickBot="1" x14ac:dyDescent="0.4">
      <c r="A4" s="196">
        <f>VLOOKUP($A$2,Kampe!$A:$V,3,FALSE)</f>
        <v>45220</v>
      </c>
      <c r="B4" s="198">
        <f>VLOOKUP(A2,Kampe!$A:$N,4,FALSE)</f>
        <v>0.5</v>
      </c>
      <c r="C4" s="197"/>
      <c r="D4" s="339" t="str">
        <f>VLOOKUP($A$2,Kampe!$A:$U,5,FALSE)</f>
        <v>Rødovre Bowlinghal</v>
      </c>
      <c r="E4" s="340"/>
      <c r="F4" s="340"/>
      <c r="G4" s="340"/>
      <c r="H4" s="340"/>
      <c r="I4" s="340"/>
      <c r="J4" s="340"/>
      <c r="K4" s="340"/>
      <c r="L4" s="340"/>
      <c r="M4" s="341"/>
    </row>
    <row r="5" spans="1:14" ht="9" customHeight="1" thickBot="1" x14ac:dyDescent="0.4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22.15" customHeight="1" thickBot="1" x14ac:dyDescent="0.4">
      <c r="A6" s="86" t="str">
        <f>VLOOKUP(A2,Kampe!A:U,20,FALSE)</f>
        <v>Politiet IF 2</v>
      </c>
      <c r="B6" s="181"/>
      <c r="C6" s="87" t="s">
        <v>65</v>
      </c>
      <c r="D6" s="181"/>
      <c r="E6" s="86" t="str">
        <f>VLOOKUP(A2,Kampe!A:U,21,FALSE)</f>
        <v>LBC 2012</v>
      </c>
      <c r="F6" s="86"/>
      <c r="G6" s="86"/>
      <c r="H6" s="86"/>
      <c r="I6" s="86"/>
      <c r="J6" s="86"/>
      <c r="K6" s="86"/>
      <c r="L6" s="86"/>
      <c r="M6" s="86"/>
      <c r="N6" s="86"/>
    </row>
    <row r="7" spans="1:14" ht="9" customHeight="1" thickBot="1" x14ac:dyDescent="0.4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s="30" customFormat="1" ht="15" customHeight="1" thickBot="1" x14ac:dyDescent="0.3">
      <c r="A8" s="88"/>
      <c r="B8" s="319" t="str">
        <f>A6</f>
        <v>Politiet IF 2</v>
      </c>
      <c r="C8" s="320"/>
      <c r="D8" s="320"/>
      <c r="E8" s="320"/>
      <c r="F8" s="89">
        <v>1</v>
      </c>
      <c r="G8" s="90"/>
      <c r="H8" s="90">
        <v>2</v>
      </c>
      <c r="I8" s="90"/>
      <c r="J8" s="90">
        <v>3</v>
      </c>
      <c r="K8" s="90"/>
      <c r="L8" s="90">
        <v>4</v>
      </c>
      <c r="M8" s="90"/>
      <c r="N8" s="92" t="s">
        <v>16</v>
      </c>
    </row>
    <row r="9" spans="1:14" s="30" customFormat="1" ht="15" customHeight="1" x14ac:dyDescent="0.25">
      <c r="A9" s="200">
        <f>IF($A$6="LBC 2012",VLOOKUP(Misafregning!$A$10,Licensnumre!$C:$G,3),0)</f>
        <v>0</v>
      </c>
      <c r="B9" s="254">
        <f>IF($A$6="LBC 2012",VLOOKUP(Misafregning!$A$10,Licensnumre!$C:$G,2),0)</f>
        <v>0</v>
      </c>
      <c r="C9" s="255" t="e">
        <f>IF($E$6 = "LBC 2012",VLOOKUP(Misafregning!#REF!,Licensnumre!$C:$J,3,FALSE),0)</f>
        <v>#REF!</v>
      </c>
      <c r="D9" s="255" t="e">
        <f>IF($E$6 = "LBC 2012",VLOOKUP(Misafregning!#REF!,Licensnumre!$C:$J,3,FALSE),0)</f>
        <v>#REF!</v>
      </c>
      <c r="E9" s="256" t="e">
        <f>IF($E$6 = "LBC 2012",VLOOKUP(Misafregning!#REF!,Licensnumre!$C:$J,3,FALSE),0)</f>
        <v>#REF!</v>
      </c>
      <c r="F9" s="125"/>
      <c r="G9" s="93">
        <v>1</v>
      </c>
      <c r="H9" s="93"/>
      <c r="I9" s="93">
        <v>1</v>
      </c>
      <c r="J9" s="93"/>
      <c r="K9" s="93">
        <v>1</v>
      </c>
      <c r="L9" s="93"/>
      <c r="M9" s="177">
        <v>1</v>
      </c>
      <c r="N9" s="94">
        <f t="shared" ref="N9:N21" si="0">SUM(F9+H9+J9+L9)</f>
        <v>0</v>
      </c>
    </row>
    <row r="10" spans="1:14" s="30" customFormat="1" ht="15" customHeight="1" x14ac:dyDescent="0.25">
      <c r="A10" s="128">
        <f>IF(Misafregning!A11=0,0,IF($A$6 = "LBC 2012",VLOOKUP(Misafregning!A11,Licensnumre!$C:$J,3,FALSE),0))</f>
        <v>0</v>
      </c>
      <c r="B10" s="288">
        <f>IF(Misafregning!A11=0,0,IF($A$6 = "LBC 2012",VLOOKUP(Misafregning!A11,Licensnumre!$C:$J,2,FALSE),0))</f>
        <v>0</v>
      </c>
      <c r="C10" s="289">
        <f>IF(Misafregning!C11=0,0,IF($A$6 = "LBC 2012",VLOOKUP(Misafregning!C11,Licensnumre!$C:$J,3,FALSE),0))</f>
        <v>0</v>
      </c>
      <c r="D10" s="289">
        <f>IF(Misafregning!D11=0,0,IF($A$6 = "LBC 2012",VLOOKUP(Misafregning!D11,Licensnumre!$C:$J,3,FALSE),0))</f>
        <v>0</v>
      </c>
      <c r="E10" s="290">
        <f>IF(Misafregning!E11=0,0,IF($A$6 = "LBC 2012",VLOOKUP(Misafregning!E11,Licensnumre!$C:$J,3,FALSE),0))</f>
        <v>0</v>
      </c>
      <c r="F10" s="126"/>
      <c r="G10" s="95">
        <v>1</v>
      </c>
      <c r="H10" s="95"/>
      <c r="I10" s="95">
        <v>1</v>
      </c>
      <c r="J10" s="95"/>
      <c r="K10" s="95">
        <v>1</v>
      </c>
      <c r="L10" s="95"/>
      <c r="M10" s="178">
        <v>1</v>
      </c>
      <c r="N10" s="96">
        <f t="shared" si="0"/>
        <v>0</v>
      </c>
    </row>
    <row r="11" spans="1:14" s="30" customFormat="1" ht="15" customHeight="1" x14ac:dyDescent="0.25">
      <c r="A11" s="128">
        <f>IF(Misafregning!A12=0,0,IF($A$6 = "LBC 2012",VLOOKUP(Misafregning!A12,Licensnumre!$C:$J,3,FALSE),0))</f>
        <v>0</v>
      </c>
      <c r="B11" s="288">
        <f>IF(Misafregning!A12=0,0,IF($A$6 = "LBC 2012",VLOOKUP(Misafregning!A12,Licensnumre!$C:$J,2,FALSE),0))</f>
        <v>0</v>
      </c>
      <c r="C11" s="289">
        <f>IF(Misafregning!C12=0,0,IF($A$6 = "LBC 2012",VLOOKUP(Misafregning!C12,Licensnumre!$C:$J,3,FALSE),0))</f>
        <v>0</v>
      </c>
      <c r="D11" s="289">
        <f>IF(Misafregning!D12=0,0,IF($A$6 = "LBC 2012",VLOOKUP(Misafregning!D12,Licensnumre!$C:$J,3,FALSE),0))</f>
        <v>0</v>
      </c>
      <c r="E11" s="290">
        <f>IF(Misafregning!E12=0,0,IF($A$6 = "LBC 2012",VLOOKUP(Misafregning!E12,Licensnumre!$C:$J,3,FALSE),0))</f>
        <v>0</v>
      </c>
      <c r="F11" s="126"/>
      <c r="G11" s="95">
        <v>2</v>
      </c>
      <c r="H11" s="95"/>
      <c r="I11" s="95">
        <v>2</v>
      </c>
      <c r="J11" s="95"/>
      <c r="K11" s="95">
        <v>2</v>
      </c>
      <c r="L11" s="95"/>
      <c r="M11" s="178">
        <v>2</v>
      </c>
      <c r="N11" s="96">
        <f t="shared" si="0"/>
        <v>0</v>
      </c>
    </row>
    <row r="12" spans="1:14" s="30" customFormat="1" ht="15" customHeight="1" x14ac:dyDescent="0.25">
      <c r="A12" s="128">
        <f>IF(Misafregning!A13=0,0,IF($A$6 = "LBC 2012",VLOOKUP(Misafregning!A13,Licensnumre!$C:$J,3,FALSE),0))</f>
        <v>0</v>
      </c>
      <c r="B12" s="288">
        <f>IF(Misafregning!A13=0,0,IF($A$6 = "LBC 2012",VLOOKUP(Misafregning!A13,Licensnumre!$C:$J,2,FALSE),0))</f>
        <v>0</v>
      </c>
      <c r="C12" s="289"/>
      <c r="D12" s="289"/>
      <c r="E12" s="290"/>
      <c r="F12" s="126"/>
      <c r="G12" s="95">
        <v>2</v>
      </c>
      <c r="H12" s="95"/>
      <c r="I12" s="95">
        <v>2</v>
      </c>
      <c r="J12" s="95"/>
      <c r="K12" s="95">
        <v>2</v>
      </c>
      <c r="L12" s="95"/>
      <c r="M12" s="178">
        <v>2</v>
      </c>
      <c r="N12" s="96">
        <f t="shared" si="0"/>
        <v>0</v>
      </c>
    </row>
    <row r="13" spans="1:14" s="30" customFormat="1" ht="15" customHeight="1" x14ac:dyDescent="0.25">
      <c r="A13" s="128">
        <f>IF(Misafregning!A14=0,0,IF($A$6 = "LBC 2012",VLOOKUP(Misafregning!A14,Licensnumre!$C:$J,3,FALSE),0))</f>
        <v>0</v>
      </c>
      <c r="B13" s="288">
        <f>IF(Misafregning!A14=0,0,IF($A$6 = "LBC 2012",VLOOKUP(Misafregning!A14,Licensnumre!$C:$J,2,FALSE),0))</f>
        <v>0</v>
      </c>
      <c r="C13" s="289">
        <f>IF(Misafregning!C16=0,0,IF($A$6 = "LBC 2012",VLOOKUP(Misafregning!C16,Licensnumre!$C:$J,3,FALSE),0))</f>
        <v>0</v>
      </c>
      <c r="D13" s="289">
        <f>IF(Misafregning!D16=0,0,IF($A$6 = "LBC 2012",VLOOKUP(Misafregning!D16,Licensnumre!$C:$J,3,FALSE),0))</f>
        <v>0</v>
      </c>
      <c r="E13" s="290">
        <f>IF(Misafregning!E16=0,0,IF($A$6 = "LBC 2012",VLOOKUP(Misafregning!E16,Licensnumre!$C:$J,3,FALSE),0))</f>
        <v>0</v>
      </c>
      <c r="F13" s="127"/>
      <c r="G13" s="97"/>
      <c r="H13" s="97"/>
      <c r="I13" s="97"/>
      <c r="J13" s="97"/>
      <c r="K13" s="97"/>
      <c r="L13" s="97"/>
      <c r="M13" s="98"/>
      <c r="N13" s="96">
        <f t="shared" si="0"/>
        <v>0</v>
      </c>
    </row>
    <row r="14" spans="1:14" s="30" customFormat="1" ht="15" customHeight="1" thickBot="1" x14ac:dyDescent="0.3">
      <c r="A14" s="110" t="s">
        <v>66</v>
      </c>
      <c r="B14" s="311"/>
      <c r="C14" s="312"/>
      <c r="D14" s="312"/>
      <c r="E14" s="313"/>
      <c r="F14" s="129"/>
      <c r="G14" s="115"/>
      <c r="H14" s="115"/>
      <c r="I14" s="115"/>
      <c r="J14" s="115"/>
      <c r="K14" s="115"/>
      <c r="L14" s="115"/>
      <c r="M14" s="116"/>
      <c r="N14" s="124">
        <f t="shared" si="0"/>
        <v>0</v>
      </c>
    </row>
    <row r="15" spans="1:14" s="30" customFormat="1" ht="15" customHeight="1" x14ac:dyDescent="0.25">
      <c r="A15" s="137" t="s">
        <v>93</v>
      </c>
      <c r="B15" s="321"/>
      <c r="C15" s="322"/>
      <c r="D15" s="322"/>
      <c r="E15" s="323"/>
      <c r="F15" s="101">
        <f>SUMIF(G9:G14,1,F9:F14)</f>
        <v>0</v>
      </c>
      <c r="G15" s="102"/>
      <c r="H15" s="102">
        <f>SUMIF(I9:I14,1,H9:H14)</f>
        <v>0</v>
      </c>
      <c r="I15" s="102"/>
      <c r="J15" s="102">
        <f>SUMIF(K9:K14,1,J9:J14)</f>
        <v>0</v>
      </c>
      <c r="K15" s="102"/>
      <c r="L15" s="102">
        <f>SUMIF(M9:M14,1,L9:L14)</f>
        <v>0</v>
      </c>
      <c r="M15" s="122"/>
      <c r="N15" s="94">
        <f t="shared" si="0"/>
        <v>0</v>
      </c>
    </row>
    <row r="16" spans="1:14" s="30" customFormat="1" ht="15" customHeight="1" x14ac:dyDescent="0.25">
      <c r="A16" s="105" t="s">
        <v>92</v>
      </c>
      <c r="B16" s="324"/>
      <c r="C16" s="325"/>
      <c r="D16" s="325"/>
      <c r="E16" s="326"/>
      <c r="F16" s="60">
        <f>SUMIF(G9:G14,2,F9:F14)</f>
        <v>0</v>
      </c>
      <c r="G16" s="68"/>
      <c r="H16" s="68">
        <f>SUMIF(I9:I14,2,H9:H14)</f>
        <v>0</v>
      </c>
      <c r="I16" s="68"/>
      <c r="J16" s="68">
        <f>SUMIF(K9:K14,2,J9:J14)</f>
        <v>0</v>
      </c>
      <c r="K16" s="68"/>
      <c r="L16" s="68">
        <f>SUMIF(M9:M14,2,L9:L14)</f>
        <v>0</v>
      </c>
      <c r="M16" s="120"/>
      <c r="N16" s="96">
        <f t="shared" si="0"/>
        <v>0</v>
      </c>
    </row>
    <row r="17" spans="1:14" s="30" customFormat="1" ht="15" customHeight="1" thickBot="1" x14ac:dyDescent="0.3">
      <c r="A17" s="107" t="s">
        <v>87</v>
      </c>
      <c r="B17" s="327"/>
      <c r="C17" s="328"/>
      <c r="D17" s="328"/>
      <c r="E17" s="329"/>
      <c r="F17" s="61">
        <f>F15+F16</f>
        <v>0</v>
      </c>
      <c r="G17" s="69"/>
      <c r="H17" s="61">
        <f>H15+H16</f>
        <v>0</v>
      </c>
      <c r="I17" s="69"/>
      <c r="J17" s="61">
        <f>J15+J16</f>
        <v>0</v>
      </c>
      <c r="K17" s="69"/>
      <c r="L17" s="61">
        <f>L15+L16</f>
        <v>0</v>
      </c>
      <c r="M17" s="121"/>
      <c r="N17" s="124">
        <f t="shared" si="0"/>
        <v>0</v>
      </c>
    </row>
    <row r="18" spans="1:14" s="30" customFormat="1" ht="15" customHeight="1" x14ac:dyDescent="0.25">
      <c r="A18" s="100" t="s">
        <v>94</v>
      </c>
      <c r="B18" s="314"/>
      <c r="C18" s="315"/>
      <c r="D18" s="315"/>
      <c r="E18" s="315"/>
      <c r="F18" s="109">
        <f>IF(F15 = 0,0,IF(F15 &gt;F30,2,IF(F15 =F30,1,0)))</f>
        <v>0</v>
      </c>
      <c r="G18" s="102"/>
      <c r="H18" s="102">
        <f>IF(H15 = 0,0,IF(H15 &gt;H30,2,IF(H15 =H30,1,0)))</f>
        <v>0</v>
      </c>
      <c r="I18" s="102"/>
      <c r="J18" s="102">
        <f>IF(J15 = 0,0,IF(J15 &gt;J30,2,IF(J15 =J30,1,0)))</f>
        <v>0</v>
      </c>
      <c r="K18" s="102"/>
      <c r="L18" s="102">
        <f>IF(L15 = 0,0,IF(L15 &gt;L30,2,IF(L15 =L30,1,0)))</f>
        <v>0</v>
      </c>
      <c r="M18" s="103"/>
      <c r="N18" s="104">
        <f t="shared" si="0"/>
        <v>0</v>
      </c>
    </row>
    <row r="19" spans="1:14" s="30" customFormat="1" ht="15" customHeight="1" x14ac:dyDescent="0.25">
      <c r="A19" s="105" t="s">
        <v>95</v>
      </c>
      <c r="B19" s="306"/>
      <c r="C19" s="307"/>
      <c r="D19" s="307"/>
      <c r="E19" s="307"/>
      <c r="F19" s="66">
        <f>IF(F16 = 0,0,IF(F16 &gt;F31,2,IF(F16 =F31,1,0)))</f>
        <v>0</v>
      </c>
      <c r="G19" s="68"/>
      <c r="H19" s="68">
        <f>IF(H16 = 0,0,IF(H16 &gt;H31,2,IF(H16 =H31,1,0)))</f>
        <v>0</v>
      </c>
      <c r="I19" s="68"/>
      <c r="J19" s="68">
        <f>IF(J16 = 0,0,IF(J16 &gt;J31,2,IF(J16 =J31,1,0)))</f>
        <v>0</v>
      </c>
      <c r="K19" s="68"/>
      <c r="L19" s="68">
        <f>IF(L16 = 0,0,IF(L16 &gt;L31,2,IF(L16 =L31,1,0)))</f>
        <v>0</v>
      </c>
      <c r="M19" s="70"/>
      <c r="N19" s="106">
        <f t="shared" si="0"/>
        <v>0</v>
      </c>
    </row>
    <row r="20" spans="1:14" s="30" customFormat="1" ht="15" customHeight="1" thickBot="1" x14ac:dyDescent="0.3">
      <c r="A20" s="107" t="s">
        <v>97</v>
      </c>
      <c r="B20" s="306"/>
      <c r="C20" s="307"/>
      <c r="D20" s="307"/>
      <c r="E20" s="307"/>
      <c r="F20" s="111">
        <f>IF(F17 = 0,0,IF(F17 &gt;F32,2,IF(F17 =F32,1,0)))</f>
        <v>0</v>
      </c>
      <c r="G20" s="112"/>
      <c r="H20" s="112">
        <f>IF(H17 = 0,0,IF(H17 &gt;H32,2,IF(H17 =H32,1,0)))</f>
        <v>0</v>
      </c>
      <c r="I20" s="112"/>
      <c r="J20" s="112">
        <f>IF(J17 = 0,0,IF(J17 &gt;J32,2,IF(J17 =J32,1,0)))</f>
        <v>0</v>
      </c>
      <c r="K20" s="112"/>
      <c r="L20" s="112">
        <f>IF(L17 = 0,0,IF(L17 &gt;L32,2,IF(L17 =L32,1,0)))</f>
        <v>0</v>
      </c>
      <c r="M20" s="113"/>
      <c r="N20" s="106">
        <f t="shared" si="0"/>
        <v>0</v>
      </c>
    </row>
    <row r="21" spans="1:14" s="30" customFormat="1" ht="15" customHeight="1" thickBot="1" x14ac:dyDescent="0.3">
      <c r="A21" s="110" t="s">
        <v>90</v>
      </c>
      <c r="B21" s="304"/>
      <c r="C21" s="305"/>
      <c r="D21" s="305"/>
      <c r="E21" s="305"/>
      <c r="F21" s="187">
        <f>F18+F19+F20</f>
        <v>0</v>
      </c>
      <c r="G21" s="188"/>
      <c r="H21" s="188">
        <f>H18+H19+H20</f>
        <v>0</v>
      </c>
      <c r="I21" s="188"/>
      <c r="J21" s="188">
        <f>J18+J19+J20</f>
        <v>0</v>
      </c>
      <c r="K21" s="188"/>
      <c r="L21" s="188">
        <f>L18+L19+L20</f>
        <v>0</v>
      </c>
      <c r="M21" s="189"/>
      <c r="N21" s="114">
        <f t="shared" si="0"/>
        <v>0</v>
      </c>
    </row>
    <row r="22" spans="1:14" ht="15" customHeight="1" thickBot="1" x14ac:dyDescent="0.4">
      <c r="A22" s="316"/>
      <c r="B22" s="317"/>
      <c r="C22" s="317"/>
      <c r="D22" s="317"/>
      <c r="E22" s="317"/>
      <c r="F22" s="342"/>
      <c r="G22" s="342"/>
      <c r="H22" s="342"/>
      <c r="I22" s="342"/>
      <c r="J22" s="342"/>
      <c r="K22" s="342"/>
      <c r="L22" s="342"/>
      <c r="M22" s="342"/>
      <c r="N22" s="343"/>
    </row>
    <row r="23" spans="1:14" s="30" customFormat="1" ht="15" customHeight="1" thickBot="1" x14ac:dyDescent="0.3">
      <c r="A23" s="88"/>
      <c r="B23" s="319" t="str">
        <f>E6</f>
        <v>LBC 2012</v>
      </c>
      <c r="C23" s="320"/>
      <c r="D23" s="320"/>
      <c r="E23" s="320"/>
      <c r="F23" s="89">
        <v>1</v>
      </c>
      <c r="G23" s="90"/>
      <c r="H23" s="90">
        <v>2</v>
      </c>
      <c r="I23" s="90"/>
      <c r="J23" s="90">
        <v>3</v>
      </c>
      <c r="K23" s="90"/>
      <c r="L23" s="90">
        <v>4</v>
      </c>
      <c r="M23" s="182"/>
      <c r="N23" s="183" t="s">
        <v>16</v>
      </c>
    </row>
    <row r="24" spans="1:14" s="30" customFormat="1" ht="15" customHeight="1" x14ac:dyDescent="0.25">
      <c r="A24" s="200" t="str">
        <f>IF($E$6="LBC 2012",VLOOKUP(Misafregning!$A$10,Licensnumre!C:G,3),0)</f>
        <v>180161-KEKR</v>
      </c>
      <c r="B24" s="254" t="str">
        <f>IF($E$6="LBC 2012",VLOOKUP(Misafregning!$A$10,Licensnumre!C:G,2),0)</f>
        <v>Kent Kraa</v>
      </c>
      <c r="C24" s="255" t="e">
        <f>IF($E$6 = "LBC 2012",VLOOKUP(Misafregning!C16,Licensnumre!$C:$J,3,FALSE),0)</f>
        <v>#N/A</v>
      </c>
      <c r="D24" s="255" t="e">
        <f>IF($E$6 = "LBC 2012",VLOOKUP(Misafregning!D16,Licensnumre!$C:$J,3,FALSE),0)</f>
        <v>#N/A</v>
      </c>
      <c r="E24" s="256" t="e">
        <f>IF($E$6 = "LBC 2012",VLOOKUP(Misafregning!E16,Licensnumre!$C:$J,3,FALSE),0)</f>
        <v>#N/A</v>
      </c>
      <c r="F24" s="125"/>
      <c r="G24" s="93">
        <v>1</v>
      </c>
      <c r="H24" s="93"/>
      <c r="I24" s="93">
        <v>2</v>
      </c>
      <c r="J24" s="93"/>
      <c r="K24" s="93">
        <v>1</v>
      </c>
      <c r="L24" s="93"/>
      <c r="M24" s="177">
        <v>2</v>
      </c>
      <c r="N24" s="94">
        <f t="shared" ref="N24:N36" si="1">SUM(F24+H24+J24+L24)</f>
        <v>0</v>
      </c>
    </row>
    <row r="25" spans="1:14" s="30" customFormat="1" ht="15" customHeight="1" x14ac:dyDescent="0.25">
      <c r="A25" s="160" t="str">
        <f>IF(Misafregning!A11=0,0,IF($E$6 = "LBC 2012",VLOOKUP(Misafregning!A11,Licensnumre!$C:$J,3,FALSE),0))</f>
        <v>030582-LAJØ</v>
      </c>
      <c r="B25" s="288" t="str">
        <f>IF(Misafregning!A11=0,0,IF($E$6 = "LBC 2012",VLOOKUP(Misafregning!A11,Licensnumre!$C:$J,2,FALSE),0))</f>
        <v>Lars Nicki Dybvik Jørgensen</v>
      </c>
      <c r="C25" s="289"/>
      <c r="D25" s="289"/>
      <c r="E25" s="290"/>
      <c r="F25" s="126"/>
      <c r="G25" s="95">
        <v>1</v>
      </c>
      <c r="H25" s="95"/>
      <c r="I25" s="95">
        <v>2</v>
      </c>
      <c r="J25" s="95"/>
      <c r="K25" s="95">
        <v>1</v>
      </c>
      <c r="L25" s="95"/>
      <c r="M25" s="178">
        <v>2</v>
      </c>
      <c r="N25" s="96">
        <f t="shared" si="1"/>
        <v>0</v>
      </c>
    </row>
    <row r="26" spans="1:14" s="30" customFormat="1" ht="15" customHeight="1" x14ac:dyDescent="0.25">
      <c r="A26" s="160" t="str">
        <f>IF(Misafregning!A12=0,0,IF($E$6 = "LBC 2012",VLOOKUP(Misafregning!A12,Licensnumre!$C:$J,3,FALSE),0))</f>
        <v>090260-JEHA</v>
      </c>
      <c r="B26" s="288" t="str">
        <f>IF(Misafregning!A12=0,0,IF($E$6 = "LBC 2012",VLOOKUP(Misafregning!A12,Licensnumre!$C:$J,2,FALSE),0))</f>
        <v>Jens Christian Hansen</v>
      </c>
      <c r="C26" s="289"/>
      <c r="D26" s="289"/>
      <c r="E26" s="290"/>
      <c r="F26" s="126"/>
      <c r="G26" s="95">
        <v>2</v>
      </c>
      <c r="H26" s="95"/>
      <c r="I26" s="95">
        <v>1</v>
      </c>
      <c r="J26" s="95"/>
      <c r="K26" s="95">
        <v>2</v>
      </c>
      <c r="L26" s="95"/>
      <c r="M26" s="178">
        <v>1</v>
      </c>
      <c r="N26" s="96">
        <f t="shared" si="1"/>
        <v>0</v>
      </c>
    </row>
    <row r="27" spans="1:14" s="30" customFormat="1" ht="15" customHeight="1" x14ac:dyDescent="0.25">
      <c r="A27" s="160" t="str">
        <f>IF(Misafregning!A13=0,0,IF($E$6 = "LBC 2012",VLOOKUP(Misafregning!A13,Licensnumre!$C:$J,3,FALSE),0))</f>
        <v>071079-PEJØ</v>
      </c>
      <c r="B27" s="288" t="str">
        <f>IF(Misafregning!A13=0,0,IF($E$6 = "LBC 2012",VLOOKUP(Misafregning!A13,Licensnumre!$C:$J,2,FALSE),0))</f>
        <v>Peter Frank Jørgensen</v>
      </c>
      <c r="C27" s="289"/>
      <c r="D27" s="289"/>
      <c r="E27" s="290"/>
      <c r="F27" s="126"/>
      <c r="G27" s="95">
        <v>2</v>
      </c>
      <c r="H27" s="95"/>
      <c r="I27" s="95">
        <v>1</v>
      </c>
      <c r="J27" s="95"/>
      <c r="K27" s="95">
        <v>2</v>
      </c>
      <c r="L27" s="95"/>
      <c r="M27" s="178">
        <v>1</v>
      </c>
      <c r="N27" s="96">
        <f t="shared" si="1"/>
        <v>0</v>
      </c>
    </row>
    <row r="28" spans="1:14" s="30" customFormat="1" ht="15" customHeight="1" x14ac:dyDescent="0.25">
      <c r="A28" s="160" t="str">
        <f>IF(Misafregning!A14=0,0,IF($E$6 = "LBC 2012",VLOOKUP(Misafregning!A14,Licensnumre!$C:$J,3,FALSE),0))</f>
        <v>081050-OLJA</v>
      </c>
      <c r="B28" s="288" t="str">
        <f>IF(Misafregning!A14=0,0,IF($E$6 = "LBC 2012",VLOOKUP(Misafregning!A14,Licensnumre!$C:$J,2,FALSE),0))</f>
        <v>Ole Jacobsen</v>
      </c>
      <c r="C28" s="289"/>
      <c r="D28" s="289"/>
      <c r="E28" s="290"/>
      <c r="F28" s="127"/>
      <c r="G28" s="97"/>
      <c r="H28" s="97"/>
      <c r="I28" s="97"/>
      <c r="J28" s="97"/>
      <c r="K28" s="97"/>
      <c r="L28" s="97"/>
      <c r="M28" s="98"/>
      <c r="N28" s="96">
        <f t="shared" si="1"/>
        <v>0</v>
      </c>
    </row>
    <row r="29" spans="1:14" s="30" customFormat="1" ht="15" customHeight="1" thickBot="1" x14ac:dyDescent="0.3">
      <c r="A29" s="124" t="s">
        <v>66</v>
      </c>
      <c r="B29" s="311"/>
      <c r="C29" s="312"/>
      <c r="D29" s="312"/>
      <c r="E29" s="313"/>
      <c r="F29" s="184"/>
      <c r="G29" s="185"/>
      <c r="H29" s="185"/>
      <c r="I29" s="185"/>
      <c r="J29" s="185"/>
      <c r="K29" s="185"/>
      <c r="L29" s="185"/>
      <c r="M29" s="186"/>
      <c r="N29" s="124">
        <f t="shared" si="1"/>
        <v>0</v>
      </c>
    </row>
    <row r="30" spans="1:14" s="30" customFormat="1" ht="15" customHeight="1" x14ac:dyDescent="0.25">
      <c r="A30" s="100" t="s">
        <v>93</v>
      </c>
      <c r="B30" s="314"/>
      <c r="C30" s="315"/>
      <c r="D30" s="315"/>
      <c r="E30" s="315"/>
      <c r="F30" s="109">
        <f>SUMIF(G24:G29,1,F24:F29)</f>
        <v>0</v>
      </c>
      <c r="G30" s="102"/>
      <c r="H30" s="102">
        <f>SUMIF(I24:I29,1,H24:H29)</f>
        <v>0</v>
      </c>
      <c r="I30" s="102"/>
      <c r="J30" s="102">
        <f>SUMIF(K24:K29,1,J24:J29)</f>
        <v>0</v>
      </c>
      <c r="K30" s="102"/>
      <c r="L30" s="102">
        <f>SUMIF(M24:M29,1,L24:L29)</f>
        <v>0</v>
      </c>
      <c r="M30" s="103"/>
      <c r="N30" s="104">
        <f t="shared" si="1"/>
        <v>0</v>
      </c>
    </row>
    <row r="31" spans="1:14" s="30" customFormat="1" ht="15" customHeight="1" x14ac:dyDescent="0.25">
      <c r="A31" s="105" t="s">
        <v>92</v>
      </c>
      <c r="B31" s="306"/>
      <c r="C31" s="307"/>
      <c r="D31" s="307"/>
      <c r="E31" s="307"/>
      <c r="F31" s="66">
        <f>SUMIF(G24:G29,2,F24:F29)</f>
        <v>0</v>
      </c>
      <c r="G31" s="68"/>
      <c r="H31" s="68">
        <f>SUMIF(I24:I29,2,H24:H29)</f>
        <v>0</v>
      </c>
      <c r="I31" s="68"/>
      <c r="J31" s="68">
        <f>SUMIF(K24:K29,2,J24:J29)</f>
        <v>0</v>
      </c>
      <c r="K31" s="68"/>
      <c r="L31" s="68">
        <f>SUMIF(M24:M29,2,L24:L29)</f>
        <v>0</v>
      </c>
      <c r="M31" s="70"/>
      <c r="N31" s="106">
        <f t="shared" si="1"/>
        <v>0</v>
      </c>
    </row>
    <row r="32" spans="1:14" s="30" customFormat="1" ht="15" customHeight="1" thickBot="1" x14ac:dyDescent="0.3">
      <c r="A32" s="107" t="s">
        <v>87</v>
      </c>
      <c r="B32" s="304"/>
      <c r="C32" s="305"/>
      <c r="D32" s="305"/>
      <c r="E32" s="305"/>
      <c r="F32" s="67">
        <f>F30+F31</f>
        <v>0</v>
      </c>
      <c r="G32" s="69"/>
      <c r="H32" s="69">
        <f>H30+H31</f>
        <v>0</v>
      </c>
      <c r="I32" s="69"/>
      <c r="J32" s="69">
        <f>J30+J31</f>
        <v>0</v>
      </c>
      <c r="K32" s="69"/>
      <c r="L32" s="69">
        <f>L30+L31</f>
        <v>0</v>
      </c>
      <c r="M32" s="71"/>
      <c r="N32" s="114">
        <f t="shared" si="1"/>
        <v>0</v>
      </c>
    </row>
    <row r="33" spans="1:14" s="30" customFormat="1" ht="15" customHeight="1" x14ac:dyDescent="0.25">
      <c r="A33" s="100" t="s">
        <v>94</v>
      </c>
      <c r="B33" s="309"/>
      <c r="C33" s="310"/>
      <c r="D33" s="310"/>
      <c r="E33" s="310"/>
      <c r="F33" s="109">
        <f>IF(F30 = 0,0,IF(F30 &gt;F15,2,IF(F30 =F15,1,0)))</f>
        <v>0</v>
      </c>
      <c r="G33" s="102"/>
      <c r="H33" s="102">
        <f>IF(H30 = 0,0,IF(H30 &gt;H15,2,IF(H30 =H15,1,0)))</f>
        <v>0</v>
      </c>
      <c r="I33" s="102"/>
      <c r="J33" s="102">
        <f>IF(J30 = 0,0,IF(J30 &gt;J15,2,IF(J30 =J15,1,0)))</f>
        <v>0</v>
      </c>
      <c r="K33" s="102"/>
      <c r="L33" s="102">
        <f>IF(L30 = 0,0,IF(L30 &gt;L15,2,IF(L30 =L15,1,0)))</f>
        <v>0</v>
      </c>
      <c r="M33" s="103"/>
      <c r="N33" s="104">
        <f t="shared" si="1"/>
        <v>0</v>
      </c>
    </row>
    <row r="34" spans="1:14" s="30" customFormat="1" ht="15" customHeight="1" x14ac:dyDescent="0.25">
      <c r="A34" s="105" t="s">
        <v>95</v>
      </c>
      <c r="B34" s="306"/>
      <c r="C34" s="307"/>
      <c r="D34" s="307"/>
      <c r="E34" s="307"/>
      <c r="F34" s="66">
        <f>IF(F31 = 0,0,IF(F31 &gt;F16,2,IF(F31 =F16,1,0)))</f>
        <v>0</v>
      </c>
      <c r="G34" s="68"/>
      <c r="H34" s="68">
        <f>IF(H31 = 0,0,IF(H31 &gt;H16,2,IF(H31 =H16,1,0)))</f>
        <v>0</v>
      </c>
      <c r="I34" s="68"/>
      <c r="J34" s="68">
        <f>IF(J31 = 0,0,IF(J31 &gt;J16,2,IF(J31 =J16,1,0)))</f>
        <v>0</v>
      </c>
      <c r="K34" s="68"/>
      <c r="L34" s="68">
        <f>IF(L31 = 0,0,IF(L31 &gt;L16,2,IF(L31 =L16,1,0)))</f>
        <v>0</v>
      </c>
      <c r="M34" s="70"/>
      <c r="N34" s="106">
        <f t="shared" si="1"/>
        <v>0</v>
      </c>
    </row>
    <row r="35" spans="1:14" ht="15" customHeight="1" thickBot="1" x14ac:dyDescent="0.4">
      <c r="A35" s="107" t="s">
        <v>97</v>
      </c>
      <c r="B35" s="306"/>
      <c r="C35" s="307"/>
      <c r="D35" s="307"/>
      <c r="E35" s="307"/>
      <c r="F35" s="111">
        <f>IF(F32 = 0,0,IF(F32 &gt;F17,2,IF(F32 =F17,1,0)))</f>
        <v>0</v>
      </c>
      <c r="G35" s="112"/>
      <c r="H35" s="112">
        <f>IF(H32 = 0,0,IF(H32 &gt;H17,2,IF(H32 =H17,1,0)))</f>
        <v>0</v>
      </c>
      <c r="I35" s="112"/>
      <c r="J35" s="112">
        <f>IF(J32 = 0,0,IF(J32 &gt;J17,2,IF(J32 =J17,1,0)))</f>
        <v>0</v>
      </c>
      <c r="K35" s="112"/>
      <c r="L35" s="112">
        <f>IF(L32 = 0,0,IF(L32 &gt;L17,2,IF(L32 =L17,1,0)))</f>
        <v>0</v>
      </c>
      <c r="M35" s="113"/>
      <c r="N35" s="106">
        <f t="shared" si="1"/>
        <v>0</v>
      </c>
    </row>
    <row r="36" spans="1:14" ht="15" customHeight="1" thickBot="1" x14ac:dyDescent="0.4">
      <c r="A36" s="110" t="s">
        <v>90</v>
      </c>
      <c r="B36" s="304"/>
      <c r="C36" s="305"/>
      <c r="D36" s="305"/>
      <c r="E36" s="305"/>
      <c r="F36" s="187">
        <f>F33+F34+F35</f>
        <v>0</v>
      </c>
      <c r="G36" s="188"/>
      <c r="H36" s="188">
        <f>H33+H34+H35</f>
        <v>0</v>
      </c>
      <c r="I36" s="188"/>
      <c r="J36" s="188">
        <f>J33+J34+J35</f>
        <v>0</v>
      </c>
      <c r="K36" s="188"/>
      <c r="L36" s="188">
        <f>L33+L34+L35</f>
        <v>0</v>
      </c>
      <c r="M36" s="189"/>
      <c r="N36" s="114">
        <f t="shared" si="1"/>
        <v>0</v>
      </c>
    </row>
    <row r="37" spans="1:14" ht="15" customHeight="1" x14ac:dyDescent="0.3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ht="15" customHeight="1" x14ac:dyDescent="0.3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ht="15" customHeight="1" x14ac:dyDescent="0.35">
      <c r="A39" s="303" t="str">
        <f>A6</f>
        <v>Politiet IF 2</v>
      </c>
      <c r="B39" s="303"/>
      <c r="C39" s="86"/>
      <c r="D39" s="303" t="str">
        <f>E6</f>
        <v>LBC 2012</v>
      </c>
      <c r="E39" s="303"/>
      <c r="F39" s="303"/>
      <c r="G39" s="303"/>
      <c r="H39" s="303"/>
      <c r="I39" s="86"/>
      <c r="J39" s="303" t="s">
        <v>69</v>
      </c>
      <c r="K39" s="303"/>
      <c r="L39" s="303"/>
      <c r="M39" s="303"/>
      <c r="N39" s="303"/>
    </row>
    <row r="40" spans="1:14" ht="15" customHeight="1" x14ac:dyDescent="0.3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</sheetData>
  <sheetProtection sheet="1" objects="1" scenarios="1" selectLockedCells="1"/>
  <mergeCells count="39">
    <mergeCell ref="B11:E11"/>
    <mergeCell ref="A1:C1"/>
    <mergeCell ref="D1:M1"/>
    <mergeCell ref="A2:C2"/>
    <mergeCell ref="D2:M2"/>
    <mergeCell ref="A3:C3"/>
    <mergeCell ref="D3:M3"/>
    <mergeCell ref="D4:M4"/>
    <mergeCell ref="B8:E8"/>
    <mergeCell ref="B9:E9"/>
    <mergeCell ref="B10:E10"/>
    <mergeCell ref="B16:E16"/>
    <mergeCell ref="B17:E17"/>
    <mergeCell ref="B18:E18"/>
    <mergeCell ref="B19:E19"/>
    <mergeCell ref="B12:E12"/>
    <mergeCell ref="B13:E13"/>
    <mergeCell ref="B14:E14"/>
    <mergeCell ref="B15:E15"/>
    <mergeCell ref="B26:E26"/>
    <mergeCell ref="B27:E27"/>
    <mergeCell ref="B28:E28"/>
    <mergeCell ref="B29:E29"/>
    <mergeCell ref="B20:E20"/>
    <mergeCell ref="B21:E21"/>
    <mergeCell ref="A22:N22"/>
    <mergeCell ref="B23:E23"/>
    <mergeCell ref="B24:E24"/>
    <mergeCell ref="B25:E25"/>
    <mergeCell ref="B30:E30"/>
    <mergeCell ref="B31:E31"/>
    <mergeCell ref="B32:E32"/>
    <mergeCell ref="B33:E33"/>
    <mergeCell ref="B34:E34"/>
    <mergeCell ref="B35:E35"/>
    <mergeCell ref="B36:E36"/>
    <mergeCell ref="A39:B39"/>
    <mergeCell ref="D39:H39"/>
    <mergeCell ref="J39:N3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5" workbookViewId="0">
      <selection activeCell="C18" sqref="C18"/>
    </sheetView>
  </sheetViews>
  <sheetFormatPr defaultRowHeight="15" x14ac:dyDescent="0.25"/>
  <cols>
    <col min="3" max="3" width="11" style="208" customWidth="1"/>
    <col min="4" max="4" width="20.42578125" style="211" customWidth="1"/>
    <col min="5" max="7" width="11" style="211" customWidth="1"/>
  </cols>
  <sheetData>
    <row r="1" spans="1:7" ht="21" x14ac:dyDescent="0.35">
      <c r="A1" s="15"/>
      <c r="C1" s="208" t="s">
        <v>131</v>
      </c>
      <c r="D1" t="s">
        <v>6</v>
      </c>
      <c r="E1" t="s">
        <v>202</v>
      </c>
      <c r="G1" s="211" t="s">
        <v>73</v>
      </c>
    </row>
    <row r="2" spans="1:7" ht="21" x14ac:dyDescent="0.25">
      <c r="C2" s="209" t="s">
        <v>144</v>
      </c>
      <c r="D2" t="s">
        <v>138</v>
      </c>
      <c r="E2" t="s">
        <v>139</v>
      </c>
      <c r="F2" s="212" t="s">
        <v>64</v>
      </c>
      <c r="G2" s="212" t="str">
        <f>+E2</f>
        <v>130577-ANJE</v>
      </c>
    </row>
    <row r="3" spans="1:7" ht="21" x14ac:dyDescent="0.25">
      <c r="C3" s="209" t="s">
        <v>216</v>
      </c>
      <c r="D3" t="s">
        <v>203</v>
      </c>
      <c r="E3" t="s">
        <v>204</v>
      </c>
      <c r="F3" s="212" t="s">
        <v>64</v>
      </c>
      <c r="G3" s="212" t="str">
        <f t="shared" ref="G3:G32" si="0">+E3</f>
        <v>180857-ANAN</v>
      </c>
    </row>
    <row r="4" spans="1:7" ht="21" x14ac:dyDescent="0.25">
      <c r="C4" s="209" t="s">
        <v>128</v>
      </c>
      <c r="D4" t="s">
        <v>100</v>
      </c>
      <c r="E4" t="s">
        <v>82</v>
      </c>
      <c r="F4" s="212" t="s">
        <v>64</v>
      </c>
      <c r="G4" s="212" t="str">
        <f t="shared" si="0"/>
        <v>100544-BIJØ</v>
      </c>
    </row>
    <row r="5" spans="1:7" ht="21" x14ac:dyDescent="0.25">
      <c r="C5" s="209" t="s">
        <v>217</v>
      </c>
      <c r="D5" t="s">
        <v>205</v>
      </c>
      <c r="E5" t="s">
        <v>206</v>
      </c>
      <c r="F5" s="212" t="s">
        <v>64</v>
      </c>
      <c r="G5" s="212" t="str">
        <f t="shared" si="0"/>
        <v>011047-BOJO</v>
      </c>
    </row>
    <row r="6" spans="1:7" ht="21" x14ac:dyDescent="0.25">
      <c r="C6" s="209" t="s">
        <v>153</v>
      </c>
      <c r="D6" t="s">
        <v>159</v>
      </c>
      <c r="E6" t="s">
        <v>160</v>
      </c>
      <c r="F6" s="213" t="s">
        <v>64</v>
      </c>
      <c r="G6" s="212" t="str">
        <f t="shared" si="0"/>
        <v>050940-BØPE</v>
      </c>
    </row>
    <row r="7" spans="1:7" ht="21" x14ac:dyDescent="0.25">
      <c r="C7" s="208" t="s">
        <v>47</v>
      </c>
      <c r="D7" t="s">
        <v>222</v>
      </c>
      <c r="E7" t="s">
        <v>207</v>
      </c>
      <c r="F7" s="212" t="s">
        <v>64</v>
      </c>
      <c r="G7" s="212" t="str">
        <f t="shared" si="0"/>
        <v>120665-GISE</v>
      </c>
    </row>
    <row r="8" spans="1:7" ht="21" x14ac:dyDescent="0.25">
      <c r="C8" s="209" t="s">
        <v>37</v>
      </c>
      <c r="D8" t="s">
        <v>101</v>
      </c>
      <c r="E8" t="s">
        <v>102</v>
      </c>
      <c r="F8" s="213" t="s">
        <v>64</v>
      </c>
      <c r="G8" s="212" t="str">
        <f t="shared" si="0"/>
        <v>161248-HAKR</v>
      </c>
    </row>
    <row r="9" spans="1:7" ht="21" x14ac:dyDescent="0.25">
      <c r="C9" s="209" t="s">
        <v>45</v>
      </c>
      <c r="D9" t="s">
        <v>103</v>
      </c>
      <c r="E9" t="s">
        <v>104</v>
      </c>
      <c r="F9" s="212" t="s">
        <v>64</v>
      </c>
      <c r="G9" s="212" t="str">
        <f t="shared" si="0"/>
        <v>011046-HALA</v>
      </c>
    </row>
    <row r="10" spans="1:7" ht="21" x14ac:dyDescent="0.25">
      <c r="C10" s="208" t="s">
        <v>39</v>
      </c>
      <c r="D10" t="s">
        <v>78</v>
      </c>
      <c r="E10" t="s">
        <v>77</v>
      </c>
      <c r="F10" s="213" t="s">
        <v>64</v>
      </c>
      <c r="G10" s="212" t="str">
        <f t="shared" si="0"/>
        <v>100591-HERA</v>
      </c>
    </row>
    <row r="11" spans="1:7" ht="21" x14ac:dyDescent="0.25">
      <c r="C11" s="209" t="s">
        <v>132</v>
      </c>
      <c r="D11" t="s">
        <v>130</v>
      </c>
      <c r="E11" t="s">
        <v>129</v>
      </c>
      <c r="F11" s="212" t="s">
        <v>64</v>
      </c>
      <c r="G11" s="212" t="str">
        <f t="shared" si="0"/>
        <v>300545-INPE</v>
      </c>
    </row>
    <row r="12" spans="1:7" ht="21" x14ac:dyDescent="0.25">
      <c r="C12" s="209" t="s">
        <v>133</v>
      </c>
      <c r="D12" t="s">
        <v>105</v>
      </c>
      <c r="E12" t="s">
        <v>106</v>
      </c>
      <c r="F12" s="213" t="s">
        <v>64</v>
      </c>
      <c r="G12" s="212" t="str">
        <f t="shared" si="0"/>
        <v>230666-JAKL</v>
      </c>
    </row>
    <row r="13" spans="1:7" ht="21" x14ac:dyDescent="0.25">
      <c r="C13" s="209" t="s">
        <v>218</v>
      </c>
      <c r="D13" t="s">
        <v>107</v>
      </c>
      <c r="E13" t="s">
        <v>76</v>
      </c>
      <c r="F13" s="212" t="s">
        <v>64</v>
      </c>
      <c r="G13" s="212" t="str">
        <f t="shared" si="0"/>
        <v>090260-JEHA</v>
      </c>
    </row>
    <row r="14" spans="1:7" ht="21" x14ac:dyDescent="0.25">
      <c r="C14" s="209" t="s">
        <v>137</v>
      </c>
      <c r="D14" t="s">
        <v>140</v>
      </c>
      <c r="E14" t="s">
        <v>141</v>
      </c>
      <c r="F14" s="213" t="s">
        <v>64</v>
      </c>
      <c r="G14" s="212" t="str">
        <f t="shared" si="0"/>
        <v>280668-JEJE</v>
      </c>
    </row>
    <row r="15" spans="1:7" ht="21" x14ac:dyDescent="0.25">
      <c r="C15" s="209" t="s">
        <v>122</v>
      </c>
      <c r="D15" t="s">
        <v>108</v>
      </c>
      <c r="E15" t="s">
        <v>109</v>
      </c>
      <c r="F15" s="212" t="s">
        <v>64</v>
      </c>
      <c r="G15" s="212" t="str">
        <f t="shared" si="0"/>
        <v>020462-JEWO</v>
      </c>
    </row>
    <row r="16" spans="1:7" ht="21" x14ac:dyDescent="0.25">
      <c r="C16" s="209" t="s">
        <v>40</v>
      </c>
      <c r="D16" t="s">
        <v>110</v>
      </c>
      <c r="E16" t="s">
        <v>111</v>
      </c>
      <c r="F16" s="213" t="s">
        <v>64</v>
      </c>
      <c r="G16" s="212" t="str">
        <f t="shared" si="0"/>
        <v>240256-KENI</v>
      </c>
    </row>
    <row r="17" spans="3:8" ht="21" x14ac:dyDescent="0.25">
      <c r="C17" s="209" t="s">
        <v>219</v>
      </c>
      <c r="D17" t="s">
        <v>208</v>
      </c>
      <c r="E17" t="s">
        <v>209</v>
      </c>
      <c r="F17" s="212" t="s">
        <v>64</v>
      </c>
      <c r="G17" s="212" t="str">
        <f t="shared" si="0"/>
        <v>180161-KEKR</v>
      </c>
    </row>
    <row r="18" spans="3:8" ht="21" x14ac:dyDescent="0.25">
      <c r="C18" s="209" t="s">
        <v>44</v>
      </c>
      <c r="D18" t="s">
        <v>112</v>
      </c>
      <c r="E18" t="s">
        <v>113</v>
      </c>
      <c r="F18" s="213" t="s">
        <v>64</v>
      </c>
      <c r="G18" s="212" t="str">
        <f t="shared" si="0"/>
        <v>100247-KULA</v>
      </c>
      <c r="H18" s="131"/>
    </row>
    <row r="19" spans="3:8" ht="21" x14ac:dyDescent="0.25">
      <c r="C19" s="210" t="s">
        <v>165</v>
      </c>
      <c r="D19" t="s">
        <v>114</v>
      </c>
      <c r="E19" t="s">
        <v>115</v>
      </c>
      <c r="F19" s="212" t="s">
        <v>64</v>
      </c>
      <c r="G19" s="212" t="str">
        <f t="shared" si="0"/>
        <v>030582-LAJØ</v>
      </c>
    </row>
    <row r="20" spans="3:8" ht="21" x14ac:dyDescent="0.25">
      <c r="C20" s="208" t="s">
        <v>161</v>
      </c>
      <c r="D20" t="s">
        <v>162</v>
      </c>
      <c r="E20" t="s">
        <v>163</v>
      </c>
      <c r="F20" s="212" t="s">
        <v>64</v>
      </c>
      <c r="G20" s="212" t="str">
        <f t="shared" si="0"/>
        <v>070671-LARO</v>
      </c>
    </row>
    <row r="21" spans="3:8" ht="21" x14ac:dyDescent="0.25">
      <c r="C21" s="209" t="s">
        <v>134</v>
      </c>
      <c r="D21" t="s">
        <v>210</v>
      </c>
      <c r="E21" t="s">
        <v>116</v>
      </c>
      <c r="F21" s="213" t="s">
        <v>64</v>
      </c>
      <c r="G21" s="212" t="str">
        <f t="shared" si="0"/>
        <v>290451-LERA</v>
      </c>
    </row>
    <row r="22" spans="3:8" ht="21" x14ac:dyDescent="0.25">
      <c r="C22" s="209" t="s">
        <v>36</v>
      </c>
      <c r="D22" t="s">
        <v>75</v>
      </c>
      <c r="E22" t="s">
        <v>74</v>
      </c>
      <c r="F22" s="212" t="s">
        <v>64</v>
      </c>
      <c r="G22" s="212" t="str">
        <f t="shared" si="0"/>
        <v>240570-LECH</v>
      </c>
    </row>
    <row r="23" spans="3:8" ht="21" x14ac:dyDescent="0.25">
      <c r="C23" s="208" t="s">
        <v>41</v>
      </c>
      <c r="D23" t="s">
        <v>81</v>
      </c>
      <c r="E23" t="s">
        <v>80</v>
      </c>
      <c r="F23" s="213" t="s">
        <v>64</v>
      </c>
      <c r="G23" s="212" t="str">
        <f t="shared" si="0"/>
        <v>300148-MAHI</v>
      </c>
    </row>
    <row r="24" spans="3:8" ht="21" x14ac:dyDescent="0.25">
      <c r="C24" s="209" t="s">
        <v>46</v>
      </c>
      <c r="D24" t="s">
        <v>117</v>
      </c>
      <c r="E24" t="s">
        <v>118</v>
      </c>
      <c r="F24" s="212" t="s">
        <v>64</v>
      </c>
      <c r="G24" s="212" t="str">
        <f t="shared" si="0"/>
        <v>190259-MIHE</v>
      </c>
    </row>
    <row r="25" spans="3:8" ht="21" x14ac:dyDescent="0.25">
      <c r="C25" s="210" t="s">
        <v>38</v>
      </c>
      <c r="D25" t="s">
        <v>84</v>
      </c>
      <c r="E25" t="s">
        <v>119</v>
      </c>
      <c r="F25" s="212" t="s">
        <v>64</v>
      </c>
      <c r="G25" s="212" t="str">
        <f t="shared" si="0"/>
        <v>081050-OLJA</v>
      </c>
    </row>
    <row r="26" spans="3:8" ht="21" x14ac:dyDescent="0.25">
      <c r="C26" s="209" t="s">
        <v>220</v>
      </c>
      <c r="D26" t="s">
        <v>211</v>
      </c>
      <c r="E26" t="s">
        <v>212</v>
      </c>
      <c r="F26" s="213" t="s">
        <v>64</v>
      </c>
      <c r="G26" s="212" t="str">
        <f t="shared" si="0"/>
        <v>071079-PEJØ</v>
      </c>
      <c r="H26" s="130"/>
    </row>
    <row r="27" spans="3:8" ht="21" x14ac:dyDescent="0.25">
      <c r="C27" s="208" t="s">
        <v>221</v>
      </c>
      <c r="D27" t="s">
        <v>213</v>
      </c>
      <c r="E27" t="s">
        <v>214</v>
      </c>
      <c r="F27" s="212" t="s">
        <v>64</v>
      </c>
      <c r="G27" s="212" t="str">
        <f t="shared" si="0"/>
        <v>040177-STBO</v>
      </c>
    </row>
    <row r="28" spans="3:8" ht="21" x14ac:dyDescent="0.25">
      <c r="C28" s="208" t="s">
        <v>164</v>
      </c>
      <c r="D28" t="s">
        <v>215</v>
      </c>
      <c r="E28" t="s">
        <v>226</v>
      </c>
      <c r="F28" s="212" t="s">
        <v>64</v>
      </c>
      <c r="G28" s="212" t="s">
        <v>226</v>
      </c>
    </row>
    <row r="29" spans="3:8" ht="21" x14ac:dyDescent="0.25">
      <c r="C29" s="210" t="s">
        <v>43</v>
      </c>
      <c r="D29" t="s">
        <v>120</v>
      </c>
      <c r="E29" t="s">
        <v>121</v>
      </c>
      <c r="F29" s="212" t="s">
        <v>64</v>
      </c>
      <c r="G29" s="212" t="str">
        <f t="shared" si="0"/>
        <v>170863-TILA</v>
      </c>
    </row>
    <row r="30" spans="3:8" ht="21" x14ac:dyDescent="0.25">
      <c r="C30" s="208" t="s">
        <v>145</v>
      </c>
      <c r="D30" t="s">
        <v>142</v>
      </c>
      <c r="E30" t="s">
        <v>143</v>
      </c>
      <c r="F30" s="212" t="s">
        <v>64</v>
      </c>
      <c r="G30" s="212" t="str">
        <f t="shared" si="0"/>
        <v>111070-TIPE</v>
      </c>
    </row>
    <row r="31" spans="3:8" ht="21" x14ac:dyDescent="0.25">
      <c r="C31" s="208" t="s">
        <v>223</v>
      </c>
      <c r="D31" t="s">
        <v>224</v>
      </c>
      <c r="E31" t="s">
        <v>225</v>
      </c>
      <c r="F31" s="212" t="s">
        <v>64</v>
      </c>
      <c r="G31" s="212" t="str">
        <f t="shared" si="0"/>
        <v>070479-TOBR</v>
      </c>
    </row>
    <row r="32" spans="3:8" ht="21" x14ac:dyDescent="0.25">
      <c r="C32" s="208" t="s">
        <v>42</v>
      </c>
      <c r="D32" t="s">
        <v>79</v>
      </c>
      <c r="E32" t="s">
        <v>83</v>
      </c>
      <c r="F32" s="212" t="s">
        <v>64</v>
      </c>
      <c r="G32" s="212" t="str">
        <f t="shared" si="0"/>
        <v>050357-YVHE</v>
      </c>
    </row>
  </sheetData>
  <sheetProtection sheet="1" selectLockedCells="1" autoFilter="0"/>
  <sortState ref="J2:J34">
    <sortCondition ref="J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4</vt:i4>
      </vt:variant>
    </vt:vector>
  </HeadingPairs>
  <TitlesOfParts>
    <vt:vector size="11" baseType="lpstr">
      <vt:lpstr>Kampe</vt:lpstr>
      <vt:lpstr>Misafregning</vt:lpstr>
      <vt:lpstr>Scoretavle_3_mands</vt:lpstr>
      <vt:lpstr>Scoretavle_Trio</vt:lpstr>
      <vt:lpstr>Scoretavle_Double</vt:lpstr>
      <vt:lpstr>Scoretavle_4_damers hold</vt:lpstr>
      <vt:lpstr>Licensnumre</vt:lpstr>
      <vt:lpstr>Scoretavle_3_mands!Udskriftsområde</vt:lpstr>
      <vt:lpstr>'Scoretavle_4_damers hold'!Udskriftsområde</vt:lpstr>
      <vt:lpstr>Scoretavle_Double!Udskriftsområde</vt:lpstr>
      <vt:lpstr>Scoretavle_Trio!Udskriftsområde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lena</cp:lastModifiedBy>
  <cp:lastPrinted>2022-01-09T11:15:41Z</cp:lastPrinted>
  <dcterms:created xsi:type="dcterms:W3CDTF">2019-09-03T07:48:04Z</dcterms:created>
  <dcterms:modified xsi:type="dcterms:W3CDTF">2024-02-01T12:06:52Z</dcterms:modified>
</cp:coreProperties>
</file>